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filterPrivacy="1" codeName="ThisWorkbook" defaultThemeVersion="124226"/>
  <xr:revisionPtr revIDLastSave="0" documentId="13_ncr:1_{5BA6CAEB-15A1-4AC5-BEF4-1A4508B7DF94}" xr6:coauthVersionLast="47" xr6:coauthVersionMax="47" xr10:uidLastSave="{00000000-0000-0000-0000-000000000000}"/>
  <bookViews>
    <workbookView xWindow="-120" yWindow="-120" windowWidth="29040" windowHeight="15840" activeTab="1" xr2:uid="{00000000-000D-0000-FFFF-FFFF00000000}"/>
  </bookViews>
  <sheets>
    <sheet name="Veiledning" sheetId="15" r:id="rId1"/>
    <sheet name="1.Budsjettinput" sheetId="7" r:id="rId2"/>
    <sheet name="2. Oppsummering Budsjett" sheetId="11" r:id="rId3"/>
    <sheet name="3. Samspill EVU - RD" sheetId="12" r:id="rId4"/>
    <sheet name="Oppslag" sheetId="3" state="hidden" r:id="rId5"/>
  </sheets>
  <externalReferences>
    <externalReference r:id="rId6"/>
    <externalReference r:id="rId7"/>
  </externalReferences>
  <definedNames>
    <definedName name="Aktivitet">Oppslag!$AX$13:$AX$14</definedName>
    <definedName name="Aktivitetstype">[1]Def!$G$2:$G$5</definedName>
    <definedName name="Budsjettenhet" localSheetId="0">[2]Oppslag!$AX$3:$AX$4</definedName>
    <definedName name="Budsjettenhet">Oppslag!$AX$3:$AX$4</definedName>
    <definedName name="Drift" localSheetId="0">[2]Oppslag!$AY$3:$AY$8</definedName>
    <definedName name="Drift">Oppslag!$AY$3:$AY$10</definedName>
    <definedName name="Driftskategori">Oppslag!$AY$2:$AY$12</definedName>
    <definedName name="Fast_ansatt?" localSheetId="0">[2]Oppslag!$BA$3:$BA$4</definedName>
    <definedName name="Fast_ansatt?">Oppslag!$BA$2:$BA$4</definedName>
    <definedName name="Fin.kat">Oppslag!$AX$19:$AX$24</definedName>
    <definedName name="Finanskat">[1]Def!$A$2:$A$7</definedName>
    <definedName name="IK_SP">Oppslag!$W$31</definedName>
    <definedName name="IK_UT">Oppslag!$W$33</definedName>
    <definedName name="_xlnm.Print_Area" localSheetId="3">'3. Samspill EVU - RD'!$A$2:$E$45</definedName>
    <definedName name="Priskategori" localSheetId="0">[2]Oppslag!$S$14:$S$27</definedName>
    <definedName name="Priskategori">Oppslag!$S$14:$S$27</definedName>
    <definedName name="Still">Oppslag!$B$1:$B$81</definedName>
    <definedName name="Stilling" localSheetId="0">[2]Oppslag!$B$2:$B$82</definedName>
    <definedName name="Stilling">Oppslag!$B$2:$B$81</definedName>
    <definedName name="Stillingstittel">Oppslag!$B$1:$B$81</definedName>
    <definedName name="Type">Oppslag!$AY$15:$AY$16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L187" i="3" l="1"/>
  <c r="L186" i="3"/>
  <c r="L185" i="3"/>
  <c r="L184" i="3"/>
  <c r="L183" i="3"/>
  <c r="L182" i="3"/>
  <c r="L181" i="3"/>
  <c r="L180" i="3"/>
  <c r="L179" i="3"/>
  <c r="L178" i="3"/>
  <c r="L177" i="3"/>
  <c r="L176" i="3"/>
  <c r="L175" i="3"/>
  <c r="L174" i="3"/>
  <c r="L173" i="3"/>
  <c r="L172" i="3"/>
  <c r="L171" i="3"/>
  <c r="L170" i="3"/>
  <c r="L169" i="3"/>
  <c r="L168" i="3"/>
  <c r="L167" i="3"/>
  <c r="L166" i="3"/>
  <c r="L165" i="3"/>
  <c r="L164" i="3"/>
  <c r="L163" i="3"/>
  <c r="L162" i="3"/>
  <c r="L161" i="3"/>
  <c r="L160" i="3"/>
  <c r="L159" i="3"/>
  <c r="L158" i="3"/>
  <c r="L157" i="3"/>
  <c r="L156" i="3"/>
  <c r="L155" i="3"/>
  <c r="L154" i="3"/>
  <c r="L153" i="3"/>
  <c r="L152" i="3"/>
  <c r="L151" i="3"/>
  <c r="L150" i="3"/>
  <c r="L149" i="3"/>
  <c r="L148" i="3"/>
  <c r="L147" i="3"/>
  <c r="L146" i="3"/>
  <c r="L145" i="3"/>
  <c r="L144" i="3"/>
  <c r="L143" i="3"/>
  <c r="L142" i="3"/>
  <c r="L141" i="3"/>
  <c r="L140" i="3"/>
  <c r="L139" i="3"/>
  <c r="L138" i="3"/>
  <c r="L137" i="3"/>
  <c r="L136" i="3"/>
  <c r="L135" i="3"/>
  <c r="L134" i="3"/>
  <c r="L133" i="3"/>
  <c r="L132" i="3"/>
  <c r="L131" i="3"/>
  <c r="L130" i="3"/>
  <c r="L129" i="3"/>
  <c r="L128" i="3"/>
  <c r="L127" i="3"/>
  <c r="L126" i="3"/>
  <c r="L125" i="3"/>
  <c r="L124" i="3"/>
  <c r="L123" i="3"/>
  <c r="L122" i="3"/>
  <c r="L121" i="3"/>
  <c r="L120" i="3"/>
  <c r="L119" i="3"/>
  <c r="L118" i="3"/>
  <c r="L117" i="3"/>
  <c r="L116" i="3"/>
  <c r="L115" i="3"/>
  <c r="L114" i="3"/>
  <c r="L113" i="3"/>
  <c r="L112" i="3"/>
  <c r="L111" i="3"/>
  <c r="L110" i="3"/>
  <c r="L109" i="3"/>
  <c r="L108" i="3"/>
  <c r="L107" i="3"/>
  <c r="L106" i="3"/>
  <c r="L105" i="3"/>
  <c r="L104" i="3"/>
  <c r="L103" i="3"/>
  <c r="L102" i="3"/>
  <c r="L101" i="3"/>
  <c r="L100" i="3"/>
  <c r="L99" i="3"/>
  <c r="L98" i="3"/>
  <c r="L97" i="3"/>
  <c r="L96" i="3"/>
  <c r="L95" i="3"/>
  <c r="L94" i="3"/>
  <c r="L93" i="3"/>
  <c r="L92" i="3"/>
  <c r="L91" i="3"/>
  <c r="L90" i="3"/>
  <c r="L89" i="3"/>
  <c r="L88" i="3"/>
  <c r="L87" i="3"/>
  <c r="L86" i="3"/>
  <c r="L85" i="3"/>
  <c r="L84" i="3"/>
  <c r="L83" i="3"/>
  <c r="L82" i="3"/>
  <c r="L81" i="3"/>
  <c r="L80" i="3"/>
  <c r="L79" i="3"/>
  <c r="L78" i="3"/>
  <c r="L77" i="3"/>
  <c r="L76" i="3"/>
  <c r="L75" i="3"/>
  <c r="L74" i="3"/>
  <c r="L73" i="3"/>
  <c r="L72" i="3"/>
  <c r="L71" i="3"/>
  <c r="L70" i="3"/>
  <c r="L69" i="3"/>
  <c r="L68" i="3"/>
  <c r="L67" i="3"/>
  <c r="L66" i="3"/>
  <c r="L65" i="3"/>
  <c r="L64" i="3"/>
  <c r="L63" i="3"/>
  <c r="L62" i="3"/>
  <c r="L61" i="3"/>
  <c r="L60" i="3"/>
  <c r="L59" i="3"/>
  <c r="L58" i="3"/>
  <c r="L57" i="3"/>
  <c r="L56" i="3"/>
  <c r="L55" i="3"/>
  <c r="L54" i="3"/>
  <c r="L53" i="3"/>
  <c r="L52" i="3"/>
  <c r="L51" i="3"/>
  <c r="L50" i="3"/>
  <c r="L49" i="3"/>
  <c r="L48" i="3"/>
  <c r="L47" i="3"/>
  <c r="L46" i="3"/>
  <c r="L45" i="3"/>
  <c r="L44" i="3"/>
  <c r="L43" i="3"/>
  <c r="L42" i="3"/>
  <c r="L41" i="3"/>
  <c r="L40" i="3"/>
  <c r="L39" i="3"/>
  <c r="L38" i="3"/>
  <c r="L37" i="3"/>
  <c r="L36" i="3"/>
  <c r="L35" i="3"/>
  <c r="L34" i="3"/>
  <c r="L33" i="3"/>
  <c r="L32" i="3"/>
  <c r="L31" i="3"/>
  <c r="L30" i="3"/>
  <c r="L29" i="3"/>
  <c r="L28" i="3"/>
  <c r="L27" i="3"/>
  <c r="L26" i="3"/>
  <c r="L25" i="3"/>
  <c r="L24" i="3"/>
  <c r="L23" i="3"/>
  <c r="L22" i="3"/>
  <c r="E14" i="7"/>
  <c r="AV8" i="3"/>
  <c r="AV9" i="3" s="1"/>
  <c r="AV10" i="3" s="1"/>
  <c r="AV11" i="3" s="1"/>
  <c r="AV12" i="3" s="1"/>
  <c r="AV13" i="3" s="1"/>
  <c r="AV14" i="3" s="1"/>
  <c r="AV15" i="3" s="1"/>
  <c r="AV16" i="3" s="1"/>
  <c r="AV17" i="3" s="1"/>
  <c r="AV18" i="3" s="1"/>
  <c r="AV19" i="3" s="1"/>
  <c r="AV20" i="3" s="1"/>
  <c r="AV21" i="3" s="1"/>
  <c r="AV22" i="3" s="1"/>
  <c r="AV23" i="3" s="1"/>
  <c r="AV24" i="3" s="1"/>
  <c r="AV25" i="3" s="1"/>
  <c r="AV26" i="3" s="1"/>
  <c r="AV27" i="3" s="1"/>
  <c r="AV28" i="3" s="1"/>
  <c r="AV29" i="3" s="1"/>
  <c r="AV30" i="3" s="1"/>
  <c r="AV31" i="3" s="1"/>
  <c r="AV32" i="3" s="1"/>
  <c r="AV33" i="3" s="1"/>
  <c r="AR9" i="3"/>
  <c r="AR10" i="3" s="1"/>
  <c r="AR11" i="3" s="1"/>
  <c r="AR12" i="3" s="1"/>
  <c r="AR13" i="3" s="1"/>
  <c r="AR14" i="3" s="1"/>
  <c r="AR15" i="3" s="1"/>
  <c r="AR16" i="3" s="1"/>
  <c r="AR17" i="3" s="1"/>
  <c r="AR18" i="3" s="1"/>
  <c r="AR19" i="3" s="1"/>
  <c r="AR20" i="3" s="1"/>
  <c r="AR21" i="3" s="1"/>
  <c r="AR22" i="3" s="1"/>
  <c r="AR23" i="3" s="1"/>
  <c r="AR24" i="3" s="1"/>
  <c r="AR25" i="3" s="1"/>
  <c r="AR26" i="3" s="1"/>
  <c r="AR27" i="3" s="1"/>
  <c r="AR28" i="3" s="1"/>
  <c r="AR29" i="3" s="1"/>
  <c r="AR30" i="3" s="1"/>
  <c r="AR31" i="3" s="1"/>
  <c r="AR32" i="3" s="1"/>
  <c r="AR33" i="3" s="1"/>
  <c r="AR8" i="3"/>
  <c r="W27" i="3"/>
  <c r="Z11" i="3" s="1"/>
  <c r="V27" i="3"/>
  <c r="U27" i="3"/>
  <c r="W26" i="3"/>
  <c r="Z10" i="3" s="1"/>
  <c r="V26" i="3"/>
  <c r="U26" i="3"/>
  <c r="W25" i="3"/>
  <c r="U25" i="3"/>
  <c r="V25" i="3" s="1"/>
  <c r="W24" i="3"/>
  <c r="Z8" i="3" s="1"/>
  <c r="U24" i="3"/>
  <c r="V24" i="3" s="1"/>
  <c r="W23" i="3"/>
  <c r="Z7" i="3" s="1"/>
  <c r="U23" i="3"/>
  <c r="V23" i="3" s="1"/>
  <c r="W22" i="3"/>
  <c r="Z6" i="3" s="1"/>
  <c r="U22" i="3"/>
  <c r="V22" i="3" s="1"/>
  <c r="W21" i="3"/>
  <c r="V21" i="3"/>
  <c r="V20" i="3"/>
  <c r="U20" i="3"/>
  <c r="U19" i="3"/>
  <c r="V19" i="3" s="1"/>
  <c r="U18" i="3"/>
  <c r="V18" i="3" s="1"/>
  <c r="U17" i="3"/>
  <c r="V17" i="3" s="1"/>
  <c r="V16" i="3"/>
  <c r="U16" i="3"/>
  <c r="U15" i="3"/>
  <c r="V15" i="3" s="1"/>
  <c r="V14" i="3"/>
  <c r="Z5" i="3"/>
  <c r="Z9" i="3"/>
  <c r="BD12" i="3" l="1"/>
  <c r="BD13" i="3" s="1"/>
  <c r="BD14" i="3" s="1"/>
  <c r="BD15" i="3" s="1"/>
  <c r="BD16" i="3" s="1"/>
  <c r="BD17" i="3" s="1"/>
  <c r="BD18" i="3" s="1"/>
  <c r="BD19" i="3" s="1"/>
  <c r="BD20" i="3" s="1"/>
  <c r="BD21" i="3" s="1"/>
  <c r="BD22" i="3" s="1"/>
  <c r="BD23" i="3" s="1"/>
  <c r="BD24" i="3" s="1"/>
  <c r="BD25" i="3" s="1"/>
  <c r="BD26" i="3" s="1"/>
  <c r="BD27" i="3" s="1"/>
  <c r="BD28" i="3" s="1"/>
  <c r="BD29" i="3" s="1"/>
  <c r="BD30" i="3" s="1"/>
  <c r="BD31" i="3" s="1"/>
  <c r="BD32" i="3" s="1"/>
  <c r="AE172" i="3"/>
  <c r="AF172" i="3" s="1"/>
  <c r="AE171" i="3"/>
  <c r="AF171" i="3" s="1"/>
  <c r="AE170" i="3"/>
  <c r="AF170" i="3" s="1"/>
  <c r="AE169" i="3"/>
  <c r="AF169" i="3" s="1"/>
  <c r="AE168" i="3"/>
  <c r="AF168" i="3" s="1"/>
  <c r="AE167" i="3"/>
  <c r="AF167" i="3" s="1"/>
  <c r="AE166" i="3"/>
  <c r="AF166" i="3" s="1"/>
  <c r="AE165" i="3"/>
  <c r="AF165" i="3" s="1"/>
  <c r="AE164" i="3"/>
  <c r="AF164" i="3" s="1"/>
  <c r="AE163" i="3"/>
  <c r="AF163" i="3" s="1"/>
  <c r="AE162" i="3"/>
  <c r="AF162" i="3" s="1"/>
  <c r="AE161" i="3"/>
  <c r="AF161" i="3" s="1"/>
  <c r="AE160" i="3"/>
  <c r="AF160" i="3" s="1"/>
  <c r="AE159" i="3"/>
  <c r="AF159" i="3" s="1"/>
  <c r="AE158" i="3"/>
  <c r="AF158" i="3" s="1"/>
  <c r="AE157" i="3"/>
  <c r="AF157" i="3" s="1"/>
  <c r="AE156" i="3"/>
  <c r="AF156" i="3" s="1"/>
  <c r="AE155" i="3"/>
  <c r="AF155" i="3" s="1"/>
  <c r="AE154" i="3"/>
  <c r="AF154" i="3" s="1"/>
  <c r="AE153" i="3"/>
  <c r="AF153" i="3" s="1"/>
  <c r="AE152" i="3"/>
  <c r="AF152" i="3" s="1"/>
  <c r="AE151" i="3"/>
  <c r="AF151" i="3" s="1"/>
  <c r="AE150" i="3"/>
  <c r="AF150" i="3" s="1"/>
  <c r="AE149" i="3"/>
  <c r="AF149" i="3" s="1"/>
  <c r="AE148" i="3"/>
  <c r="AF148" i="3" s="1"/>
  <c r="AE147" i="3"/>
  <c r="AF147" i="3" s="1"/>
  <c r="AE146" i="3"/>
  <c r="AF146" i="3" s="1"/>
  <c r="AE145" i="3"/>
  <c r="AF145" i="3" s="1"/>
  <c r="AE144" i="3"/>
  <c r="AF144" i="3" s="1"/>
  <c r="AE143" i="3"/>
  <c r="AF143" i="3" s="1"/>
  <c r="AE142" i="3"/>
  <c r="AF142" i="3" s="1"/>
  <c r="AE141" i="3"/>
  <c r="AF141" i="3" s="1"/>
  <c r="AE140" i="3"/>
  <c r="AF140" i="3" s="1"/>
  <c r="AE139" i="3"/>
  <c r="AF139" i="3" s="1"/>
  <c r="AE138" i="3"/>
  <c r="AF138" i="3" s="1"/>
  <c r="AE137" i="3"/>
  <c r="AF137" i="3" s="1"/>
  <c r="AE136" i="3"/>
  <c r="AF136" i="3" s="1"/>
  <c r="AE135" i="3"/>
  <c r="AF135" i="3" s="1"/>
  <c r="AE134" i="3"/>
  <c r="AF134" i="3" s="1"/>
  <c r="AE133" i="3"/>
  <c r="AF133" i="3" s="1"/>
  <c r="AE132" i="3"/>
  <c r="AF132" i="3" s="1"/>
  <c r="AE131" i="3"/>
  <c r="AF131" i="3" s="1"/>
  <c r="AE130" i="3"/>
  <c r="AF130" i="3" s="1"/>
  <c r="AE129" i="3"/>
  <c r="AF129" i="3" s="1"/>
  <c r="AE128" i="3"/>
  <c r="AF128" i="3" s="1"/>
  <c r="AE127" i="3"/>
  <c r="AF127" i="3" s="1"/>
  <c r="AE126" i="3"/>
  <c r="AF126" i="3" s="1"/>
  <c r="AE125" i="3"/>
  <c r="AF125" i="3" s="1"/>
  <c r="AE124" i="3"/>
  <c r="AF124" i="3" s="1"/>
  <c r="AE123" i="3"/>
  <c r="AF123" i="3" s="1"/>
  <c r="AE122" i="3"/>
  <c r="AF122" i="3" s="1"/>
  <c r="AE121" i="3"/>
  <c r="AF121" i="3" s="1"/>
  <c r="AE120" i="3"/>
  <c r="AF120" i="3" s="1"/>
  <c r="AE119" i="3"/>
  <c r="AF119" i="3" s="1"/>
  <c r="AE118" i="3"/>
  <c r="AF118" i="3" s="1"/>
  <c r="AE117" i="3"/>
  <c r="AF117" i="3" s="1"/>
  <c r="AE116" i="3"/>
  <c r="AF116" i="3" s="1"/>
  <c r="AE115" i="3"/>
  <c r="AF115" i="3" s="1"/>
  <c r="AE114" i="3"/>
  <c r="AF114" i="3" s="1"/>
  <c r="AE113" i="3"/>
  <c r="AF113" i="3" s="1"/>
  <c r="AE112" i="3"/>
  <c r="AF112" i="3" s="1"/>
  <c r="AE111" i="3"/>
  <c r="AF111" i="3" s="1"/>
  <c r="AE110" i="3"/>
  <c r="AF110" i="3" s="1"/>
  <c r="AE109" i="3"/>
  <c r="AF109" i="3" s="1"/>
  <c r="AE108" i="3"/>
  <c r="AF108" i="3" s="1"/>
  <c r="AE107" i="3"/>
  <c r="AF107" i="3" s="1"/>
  <c r="AE106" i="3"/>
  <c r="AF106" i="3" s="1"/>
  <c r="AE105" i="3"/>
  <c r="AF105" i="3" s="1"/>
  <c r="AE104" i="3"/>
  <c r="AF104" i="3" s="1"/>
  <c r="AE103" i="3"/>
  <c r="AF103" i="3" s="1"/>
  <c r="AE102" i="3"/>
  <c r="AF102" i="3" s="1"/>
  <c r="AE101" i="3"/>
  <c r="AF101" i="3" s="1"/>
  <c r="AE100" i="3"/>
  <c r="AF100" i="3" s="1"/>
  <c r="AE99" i="3"/>
  <c r="AF99" i="3" s="1"/>
  <c r="AE98" i="3"/>
  <c r="AF98" i="3" s="1"/>
  <c r="AE97" i="3"/>
  <c r="AF97" i="3" s="1"/>
  <c r="AE96" i="3"/>
  <c r="AF96" i="3" s="1"/>
  <c r="AE95" i="3"/>
  <c r="AF95" i="3" s="1"/>
  <c r="AE94" i="3"/>
  <c r="AF94" i="3" s="1"/>
  <c r="AE93" i="3"/>
  <c r="AF93" i="3" s="1"/>
  <c r="AE92" i="3"/>
  <c r="AF92" i="3" s="1"/>
  <c r="AE91" i="3"/>
  <c r="AF91" i="3" s="1"/>
  <c r="AE90" i="3"/>
  <c r="AF90" i="3" s="1"/>
  <c r="AE89" i="3"/>
  <c r="AF89" i="3" s="1"/>
  <c r="AF88" i="3"/>
  <c r="AF87" i="3"/>
  <c r="AF86" i="3"/>
  <c r="AF85" i="3"/>
  <c r="AF84" i="3"/>
  <c r="AF83" i="3"/>
  <c r="AF82" i="3"/>
  <c r="AF81" i="3"/>
  <c r="AF80" i="3"/>
  <c r="AF79" i="3"/>
  <c r="AF78" i="3"/>
  <c r="AF77" i="3"/>
  <c r="AF76" i="3"/>
  <c r="AF75" i="3"/>
  <c r="AF74" i="3"/>
  <c r="AF73" i="3"/>
  <c r="AF72" i="3"/>
  <c r="AF71" i="3"/>
  <c r="AF70" i="3"/>
  <c r="AF69" i="3"/>
  <c r="AF68" i="3"/>
  <c r="AF67" i="3"/>
  <c r="AF66" i="3"/>
  <c r="AF65" i="3"/>
  <c r="AF64" i="3"/>
  <c r="AF63" i="3"/>
  <c r="AF62" i="3"/>
  <c r="AF61" i="3"/>
  <c r="AF60" i="3"/>
  <c r="AF59" i="3"/>
  <c r="AF58" i="3"/>
  <c r="AF57" i="3"/>
  <c r="AF56" i="3"/>
  <c r="AF55" i="3"/>
  <c r="AF54" i="3"/>
  <c r="AF53" i="3"/>
  <c r="AF52" i="3"/>
  <c r="AF51" i="3"/>
  <c r="AF50" i="3"/>
  <c r="AF49" i="3"/>
  <c r="AF48" i="3"/>
  <c r="AF47" i="3"/>
  <c r="AF46" i="3"/>
  <c r="AF45" i="3"/>
  <c r="AF44" i="3"/>
  <c r="AF43" i="3"/>
  <c r="AF42" i="3"/>
  <c r="AF41" i="3"/>
  <c r="AF40" i="3"/>
  <c r="AF39" i="3"/>
  <c r="AF38" i="3"/>
  <c r="AF37" i="3"/>
  <c r="AF36" i="3"/>
  <c r="AF35" i="3"/>
  <c r="AF34" i="3"/>
  <c r="AF33" i="3"/>
  <c r="AF32" i="3"/>
  <c r="AF31" i="3"/>
  <c r="AF30" i="3"/>
  <c r="AF29" i="3"/>
  <c r="AF28" i="3"/>
  <c r="AF27" i="3"/>
  <c r="AF26" i="3"/>
  <c r="AF25" i="3"/>
  <c r="AF24" i="3"/>
  <c r="AF23" i="3"/>
  <c r="AF22" i="3"/>
  <c r="AF21" i="3"/>
  <c r="AF20" i="3"/>
  <c r="AF19" i="3"/>
  <c r="AF18" i="3"/>
  <c r="AF17" i="3"/>
  <c r="AF16" i="3"/>
  <c r="AF15" i="3"/>
  <c r="AF14" i="3"/>
  <c r="AF13" i="3"/>
  <c r="AF12" i="3"/>
  <c r="AF11" i="3"/>
  <c r="AF10" i="3"/>
  <c r="AF9" i="3"/>
  <c r="AF8" i="3"/>
  <c r="AF7" i="3"/>
  <c r="AF6" i="3"/>
  <c r="AF5" i="3"/>
  <c r="AC172" i="3"/>
  <c r="AC171" i="3"/>
  <c r="AC170" i="3"/>
  <c r="AC169" i="3"/>
  <c r="AC168" i="3"/>
  <c r="AC167" i="3"/>
  <c r="AC166" i="3"/>
  <c r="AC165" i="3"/>
  <c r="AC164" i="3"/>
  <c r="AC163" i="3"/>
  <c r="AC162" i="3"/>
  <c r="AC161" i="3"/>
  <c r="AC160" i="3"/>
  <c r="AC159" i="3"/>
  <c r="AC158" i="3"/>
  <c r="AC157" i="3"/>
  <c r="AC156" i="3"/>
  <c r="AC155" i="3"/>
  <c r="AC154" i="3"/>
  <c r="AC153" i="3"/>
  <c r="AC152" i="3"/>
  <c r="AC151" i="3"/>
  <c r="AC150" i="3"/>
  <c r="AC149" i="3"/>
  <c r="AC148" i="3"/>
  <c r="AC147" i="3"/>
  <c r="AC146" i="3"/>
  <c r="AC145" i="3"/>
  <c r="AC144" i="3"/>
  <c r="AC143" i="3"/>
  <c r="AC142" i="3"/>
  <c r="AC141" i="3"/>
  <c r="AC140" i="3"/>
  <c r="AC139" i="3"/>
  <c r="AC138" i="3"/>
  <c r="AC137" i="3"/>
  <c r="AC136" i="3"/>
  <c r="AC135" i="3"/>
  <c r="AC134" i="3"/>
  <c r="AC133" i="3"/>
  <c r="AC132" i="3"/>
  <c r="AC131" i="3"/>
  <c r="AC130" i="3"/>
  <c r="AC129" i="3"/>
  <c r="AC128" i="3"/>
  <c r="AC127" i="3"/>
  <c r="AC126" i="3"/>
  <c r="AC125" i="3"/>
  <c r="AC124" i="3"/>
  <c r="AC123" i="3"/>
  <c r="AC122" i="3"/>
  <c r="AC121" i="3"/>
  <c r="AC120" i="3"/>
  <c r="AC119" i="3"/>
  <c r="AC118" i="3"/>
  <c r="AC117" i="3"/>
  <c r="AC116" i="3"/>
  <c r="AC115" i="3"/>
  <c r="AC114" i="3"/>
  <c r="AC113" i="3"/>
  <c r="AC112" i="3"/>
  <c r="AC111" i="3"/>
  <c r="AC110" i="3"/>
  <c r="AC109" i="3"/>
  <c r="AC108" i="3"/>
  <c r="AC107" i="3"/>
  <c r="AC106" i="3"/>
  <c r="AC105" i="3"/>
  <c r="AC104" i="3"/>
  <c r="AC103" i="3"/>
  <c r="AC102" i="3"/>
  <c r="AC101" i="3"/>
  <c r="AC100" i="3"/>
  <c r="AC99" i="3"/>
  <c r="AC98" i="3"/>
  <c r="AC97" i="3"/>
  <c r="AC96" i="3"/>
  <c r="AC95" i="3"/>
  <c r="AC94" i="3"/>
  <c r="AC93" i="3"/>
  <c r="AC92" i="3"/>
  <c r="AC91" i="3"/>
  <c r="AC90" i="3"/>
  <c r="AC89" i="3"/>
  <c r="K104" i="3" l="1"/>
  <c r="M104" i="3" s="1"/>
  <c r="N104" i="3" s="1"/>
  <c r="K103" i="3"/>
  <c r="M103" i="3" s="1"/>
  <c r="N103" i="3" s="1"/>
  <c r="K102" i="3"/>
  <c r="M102" i="3" s="1"/>
  <c r="N102" i="3" s="1"/>
  <c r="K101" i="3"/>
  <c r="M101" i="3" s="1"/>
  <c r="N101" i="3" s="1"/>
  <c r="K100" i="3"/>
  <c r="M100" i="3" s="1"/>
  <c r="N100" i="3" s="1"/>
  <c r="K99" i="3"/>
  <c r="M99" i="3" s="1"/>
  <c r="N99" i="3" s="1"/>
  <c r="K98" i="3"/>
  <c r="M98" i="3" s="1"/>
  <c r="N98" i="3" s="1"/>
  <c r="K97" i="3"/>
  <c r="M97" i="3" s="1"/>
  <c r="N97" i="3" s="1"/>
  <c r="K96" i="3"/>
  <c r="M96" i="3" s="1"/>
  <c r="N96" i="3" s="1"/>
  <c r="K95" i="3"/>
  <c r="M95" i="3" s="1"/>
  <c r="N95" i="3" s="1"/>
  <c r="K94" i="3"/>
  <c r="M94" i="3" s="1"/>
  <c r="N94" i="3" s="1"/>
  <c r="K93" i="3"/>
  <c r="M93" i="3" s="1"/>
  <c r="N93" i="3" s="1"/>
  <c r="K92" i="3"/>
  <c r="M92" i="3" s="1"/>
  <c r="N92" i="3" s="1"/>
  <c r="K91" i="3"/>
  <c r="M91" i="3" s="1"/>
  <c r="N91" i="3" s="1"/>
  <c r="K90" i="3"/>
  <c r="M90" i="3" s="1"/>
  <c r="N90" i="3" s="1"/>
  <c r="K89" i="3"/>
  <c r="M89" i="3" s="1"/>
  <c r="N89" i="3" s="1"/>
  <c r="K88" i="3"/>
  <c r="M88" i="3" s="1"/>
  <c r="N88" i="3" s="1"/>
  <c r="K87" i="3"/>
  <c r="M87" i="3" s="1"/>
  <c r="N87" i="3" s="1"/>
  <c r="K86" i="3"/>
  <c r="M86" i="3" s="1"/>
  <c r="N86" i="3" s="1"/>
  <c r="K85" i="3"/>
  <c r="M85" i="3" s="1"/>
  <c r="N85" i="3" s="1"/>
  <c r="K84" i="3"/>
  <c r="M84" i="3" s="1"/>
  <c r="N84" i="3" s="1"/>
  <c r="K83" i="3"/>
  <c r="M83" i="3" s="1"/>
  <c r="N83" i="3" s="1"/>
  <c r="K82" i="3"/>
  <c r="M82" i="3" s="1"/>
  <c r="N82" i="3" s="1"/>
  <c r="K81" i="3"/>
  <c r="M81" i="3" s="1"/>
  <c r="N81" i="3" s="1"/>
  <c r="K80" i="3"/>
  <c r="M80" i="3" s="1"/>
  <c r="N80" i="3" s="1"/>
  <c r="K79" i="3"/>
  <c r="M79" i="3" s="1"/>
  <c r="N79" i="3" s="1"/>
  <c r="K78" i="3"/>
  <c r="M78" i="3" s="1"/>
  <c r="N78" i="3" s="1"/>
  <c r="K77" i="3"/>
  <c r="M77" i="3" s="1"/>
  <c r="N77" i="3" s="1"/>
  <c r="K76" i="3"/>
  <c r="M76" i="3" s="1"/>
  <c r="N76" i="3" s="1"/>
  <c r="K75" i="3"/>
  <c r="M75" i="3" s="1"/>
  <c r="N75" i="3" s="1"/>
  <c r="K74" i="3"/>
  <c r="M74" i="3" s="1"/>
  <c r="N74" i="3" s="1"/>
  <c r="K73" i="3"/>
  <c r="M73" i="3" s="1"/>
  <c r="N73" i="3" s="1"/>
  <c r="K72" i="3"/>
  <c r="M72" i="3" s="1"/>
  <c r="N72" i="3" s="1"/>
  <c r="K71" i="3"/>
  <c r="M71" i="3" s="1"/>
  <c r="N71" i="3" s="1"/>
  <c r="K70" i="3"/>
  <c r="M70" i="3" s="1"/>
  <c r="N70" i="3" s="1"/>
  <c r="K69" i="3"/>
  <c r="M69" i="3" s="1"/>
  <c r="N69" i="3" s="1"/>
  <c r="K68" i="3"/>
  <c r="M68" i="3" s="1"/>
  <c r="N68" i="3" s="1"/>
  <c r="K67" i="3"/>
  <c r="M67" i="3" s="1"/>
  <c r="N67" i="3" s="1"/>
  <c r="K66" i="3"/>
  <c r="M66" i="3" s="1"/>
  <c r="N66" i="3" s="1"/>
  <c r="K65" i="3"/>
  <c r="M65" i="3" s="1"/>
  <c r="N65" i="3" s="1"/>
  <c r="K64" i="3"/>
  <c r="M64" i="3" s="1"/>
  <c r="N64" i="3" s="1"/>
  <c r="K63" i="3"/>
  <c r="M63" i="3" s="1"/>
  <c r="N63" i="3" s="1"/>
  <c r="K62" i="3"/>
  <c r="M62" i="3" s="1"/>
  <c r="N62" i="3" s="1"/>
  <c r="K61" i="3"/>
  <c r="M61" i="3" s="1"/>
  <c r="N61" i="3" s="1"/>
  <c r="K60" i="3"/>
  <c r="M60" i="3" s="1"/>
  <c r="N60" i="3" s="1"/>
  <c r="K59" i="3"/>
  <c r="M59" i="3" s="1"/>
  <c r="N59" i="3" s="1"/>
  <c r="K58" i="3"/>
  <c r="M58" i="3" s="1"/>
  <c r="N58" i="3" s="1"/>
  <c r="K57" i="3"/>
  <c r="M57" i="3" s="1"/>
  <c r="N57" i="3" s="1"/>
  <c r="K56" i="3"/>
  <c r="M56" i="3" s="1"/>
  <c r="N56" i="3" s="1"/>
  <c r="K55" i="3"/>
  <c r="M55" i="3" s="1"/>
  <c r="N55" i="3" s="1"/>
  <c r="K54" i="3"/>
  <c r="M54" i="3" s="1"/>
  <c r="N54" i="3" s="1"/>
  <c r="K53" i="3"/>
  <c r="M53" i="3" s="1"/>
  <c r="N53" i="3" s="1"/>
  <c r="K52" i="3"/>
  <c r="M52" i="3" s="1"/>
  <c r="N52" i="3" s="1"/>
  <c r="K51" i="3"/>
  <c r="M51" i="3" s="1"/>
  <c r="N51" i="3" s="1"/>
  <c r="K50" i="3"/>
  <c r="M50" i="3" s="1"/>
  <c r="N50" i="3" s="1"/>
  <c r="K49" i="3"/>
  <c r="M49" i="3" s="1"/>
  <c r="N49" i="3" s="1"/>
  <c r="K48" i="3"/>
  <c r="M48" i="3" s="1"/>
  <c r="N48" i="3" s="1"/>
  <c r="K47" i="3"/>
  <c r="M47" i="3" s="1"/>
  <c r="N47" i="3" s="1"/>
  <c r="K46" i="3"/>
  <c r="M46" i="3" s="1"/>
  <c r="N46" i="3" s="1"/>
  <c r="K45" i="3"/>
  <c r="M45" i="3" s="1"/>
  <c r="N45" i="3" s="1"/>
  <c r="K44" i="3"/>
  <c r="M44" i="3" s="1"/>
  <c r="N44" i="3" s="1"/>
  <c r="K43" i="3"/>
  <c r="M43" i="3" s="1"/>
  <c r="N43" i="3" s="1"/>
  <c r="K42" i="3"/>
  <c r="M42" i="3" s="1"/>
  <c r="N42" i="3" s="1"/>
  <c r="K41" i="3"/>
  <c r="M41" i="3" s="1"/>
  <c r="N41" i="3" s="1"/>
  <c r="K40" i="3"/>
  <c r="M40" i="3" s="1"/>
  <c r="N40" i="3" s="1"/>
  <c r="K39" i="3"/>
  <c r="M39" i="3" s="1"/>
  <c r="N39" i="3" s="1"/>
  <c r="K38" i="3"/>
  <c r="M38" i="3" s="1"/>
  <c r="N38" i="3" s="1"/>
  <c r="K37" i="3"/>
  <c r="M37" i="3" s="1"/>
  <c r="N37" i="3" s="1"/>
  <c r="K36" i="3"/>
  <c r="M36" i="3" s="1"/>
  <c r="N36" i="3" s="1"/>
  <c r="K35" i="3"/>
  <c r="M35" i="3" s="1"/>
  <c r="N35" i="3" s="1"/>
  <c r="K34" i="3"/>
  <c r="M34" i="3" s="1"/>
  <c r="N34" i="3" s="1"/>
  <c r="K33" i="3"/>
  <c r="M33" i="3" s="1"/>
  <c r="N33" i="3" s="1"/>
  <c r="K32" i="3"/>
  <c r="M32" i="3" s="1"/>
  <c r="N32" i="3" s="1"/>
  <c r="K31" i="3"/>
  <c r="M31" i="3" s="1"/>
  <c r="N31" i="3" s="1"/>
  <c r="K30" i="3"/>
  <c r="M30" i="3" s="1"/>
  <c r="N30" i="3" s="1"/>
  <c r="K29" i="3"/>
  <c r="M29" i="3" s="1"/>
  <c r="N29" i="3" s="1"/>
  <c r="K28" i="3"/>
  <c r="M28" i="3" s="1"/>
  <c r="N28" i="3" s="1"/>
  <c r="K27" i="3"/>
  <c r="M27" i="3" s="1"/>
  <c r="N27" i="3" s="1"/>
  <c r="K26" i="3"/>
  <c r="M26" i="3" s="1"/>
  <c r="N26" i="3" s="1"/>
  <c r="K25" i="3"/>
  <c r="M25" i="3" s="1"/>
  <c r="N25" i="3" s="1"/>
  <c r="K24" i="3"/>
  <c r="M24" i="3" s="1"/>
  <c r="N24" i="3" s="1"/>
  <c r="K23" i="3"/>
  <c r="M23" i="3" s="1"/>
  <c r="N23" i="3" s="1"/>
  <c r="K22" i="3"/>
  <c r="M22" i="3" s="1"/>
  <c r="N22" i="3" s="1"/>
  <c r="W15" i="7" l="1"/>
  <c r="W16" i="7"/>
  <c r="W17" i="7"/>
  <c r="W18" i="7"/>
  <c r="W19" i="7"/>
  <c r="W20" i="7"/>
  <c r="W21" i="7"/>
  <c r="W22" i="7"/>
  <c r="W23" i="7"/>
  <c r="I37" i="11" l="1"/>
  <c r="I36" i="11"/>
  <c r="C16" i="12" l="1"/>
  <c r="D16" i="12"/>
  <c r="B16" i="12"/>
  <c r="L6" i="7" l="1"/>
  <c r="L9" i="7" l="1"/>
  <c r="L8" i="7"/>
  <c r="C2" i="12"/>
  <c r="L3" i="7" l="1"/>
  <c r="L4" i="7"/>
  <c r="E4" i="7" l="1"/>
  <c r="E3" i="7"/>
  <c r="C2" i="11"/>
  <c r="E6" i="7"/>
  <c r="W33" i="3"/>
  <c r="E14" i="11" s="1"/>
  <c r="M14" i="11" s="1"/>
  <c r="L14" i="11" s="1"/>
  <c r="E8" i="7" l="1"/>
  <c r="W39" i="3" l="1"/>
  <c r="H41" i="7" s="1"/>
  <c r="G9" i="7" l="1"/>
  <c r="G8" i="7"/>
  <c r="N3" i="7"/>
  <c r="I39" i="11" l="1"/>
  <c r="I40" i="11"/>
  <c r="C5" i="12"/>
  <c r="C6" i="11"/>
  <c r="C6" i="12" l="1"/>
  <c r="C4" i="12"/>
  <c r="C3" i="12"/>
  <c r="C1" i="12"/>
  <c r="C4" i="11"/>
  <c r="C5" i="11"/>
  <c r="C3" i="11"/>
  <c r="C1" i="11"/>
  <c r="T40" i="7"/>
  <c r="L38" i="11" s="1"/>
  <c r="T41" i="7"/>
  <c r="T42" i="7"/>
  <c r="T43" i="7"/>
  <c r="T44" i="7"/>
  <c r="T45" i="7"/>
  <c r="L39" i="11" s="1"/>
  <c r="D14" i="12" s="1"/>
  <c r="T46" i="7"/>
  <c r="S40" i="7"/>
  <c r="K38" i="11" s="1"/>
  <c r="S41" i="7"/>
  <c r="S42" i="7"/>
  <c r="S43" i="7"/>
  <c r="S44" i="7"/>
  <c r="S45" i="7"/>
  <c r="K39" i="11" s="1"/>
  <c r="C14" i="12" s="1"/>
  <c r="S46" i="7"/>
  <c r="R40" i="7"/>
  <c r="J38" i="11" s="1"/>
  <c r="R41" i="7"/>
  <c r="R42" i="7"/>
  <c r="R43" i="7"/>
  <c r="R44" i="7"/>
  <c r="R45" i="7"/>
  <c r="J39" i="11" s="1"/>
  <c r="B14" i="12" s="1"/>
  <c r="R46" i="7"/>
  <c r="K24" i="7"/>
  <c r="I24" i="7"/>
  <c r="G24" i="7"/>
  <c r="M15" i="7"/>
  <c r="M16" i="7"/>
  <c r="M17" i="7"/>
  <c r="M18" i="7"/>
  <c r="M19" i="7"/>
  <c r="M20" i="7"/>
  <c r="M21" i="7"/>
  <c r="M22" i="7"/>
  <c r="M23" i="7"/>
  <c r="M14" i="7"/>
  <c r="M39" i="11" l="1"/>
  <c r="M38" i="11"/>
  <c r="U41" i="7"/>
  <c r="U42" i="7"/>
  <c r="M24" i="7"/>
  <c r="U40" i="7"/>
  <c r="M19" i="11" s="1"/>
  <c r="X17" i="7" l="1"/>
  <c r="X22" i="7"/>
  <c r="X16" i="7"/>
  <c r="X18" i="7"/>
  <c r="X20" i="7"/>
  <c r="X19" i="7"/>
  <c r="X21" i="7"/>
  <c r="X15" i="7"/>
  <c r="X23" i="7"/>
  <c r="E17" i="7"/>
  <c r="E18" i="7"/>
  <c r="E19" i="7"/>
  <c r="E20" i="7"/>
  <c r="E21" i="7"/>
  <c r="E22" i="7"/>
  <c r="E23" i="7"/>
  <c r="E15" i="7"/>
  <c r="C35" i="12" l="1"/>
  <c r="D35" i="12"/>
  <c r="B35" i="12"/>
  <c r="E35" i="12" l="1"/>
  <c r="T39" i="7"/>
  <c r="D15" i="11"/>
  <c r="D16" i="11"/>
  <c r="D25" i="12"/>
  <c r="C15" i="11"/>
  <c r="C16" i="11"/>
  <c r="C25" i="12"/>
  <c r="S39" i="7"/>
  <c r="B15" i="11"/>
  <c r="B16" i="11"/>
  <c r="B25" i="12"/>
  <c r="R39" i="7"/>
  <c r="G73" i="7"/>
  <c r="F73" i="7"/>
  <c r="E73" i="7"/>
  <c r="H72" i="7"/>
  <c r="H71" i="7"/>
  <c r="H70" i="7"/>
  <c r="H69" i="7"/>
  <c r="H68" i="7"/>
  <c r="H67" i="7"/>
  <c r="H66" i="7"/>
  <c r="H65" i="7"/>
  <c r="H64" i="7"/>
  <c r="H63" i="7"/>
  <c r="H62" i="7"/>
  <c r="H61" i="7"/>
  <c r="H60" i="7"/>
  <c r="H59" i="7"/>
  <c r="H58" i="7"/>
  <c r="H57" i="7"/>
  <c r="H56" i="7"/>
  <c r="H55" i="7"/>
  <c r="H54" i="7"/>
  <c r="H53" i="7"/>
  <c r="H52" i="7"/>
  <c r="H51" i="7"/>
  <c r="H50" i="7"/>
  <c r="H49" i="7"/>
  <c r="H48" i="7"/>
  <c r="H47" i="7"/>
  <c r="H46" i="7"/>
  <c r="H45" i="7"/>
  <c r="H44" i="7"/>
  <c r="H43" i="7"/>
  <c r="H42" i="7"/>
  <c r="E22" i="11"/>
  <c r="F22" i="11" s="1"/>
  <c r="G22" i="11" s="1"/>
  <c r="G12" i="7"/>
  <c r="C27" i="7" s="1"/>
  <c r="I41" i="7" l="1"/>
  <c r="J41" i="7" s="1"/>
  <c r="R38" i="7"/>
  <c r="S38" i="7" s="1"/>
  <c r="T38" i="7" s="1"/>
  <c r="U46" i="7"/>
  <c r="U45" i="7"/>
  <c r="M20" i="11" s="1"/>
  <c r="L20" i="11" s="1"/>
  <c r="U39" i="7"/>
  <c r="U44" i="7"/>
  <c r="S47" i="7"/>
  <c r="T47" i="7"/>
  <c r="U43" i="7"/>
  <c r="R47" i="7"/>
  <c r="E40" i="7"/>
  <c r="F40" i="7" s="1"/>
  <c r="G40" i="7" s="1"/>
  <c r="B10" i="11"/>
  <c r="J33" i="11" s="1"/>
  <c r="I12" i="7"/>
  <c r="E27" i="7" s="1"/>
  <c r="H73" i="7" l="1"/>
  <c r="I47" i="7"/>
  <c r="B17" i="11"/>
  <c r="J40" i="11"/>
  <c r="D17" i="11"/>
  <c r="L40" i="11"/>
  <c r="C17" i="11"/>
  <c r="K40" i="11"/>
  <c r="B21" i="11"/>
  <c r="B11" i="12"/>
  <c r="B23" i="12" s="1"/>
  <c r="C23" i="12" s="1"/>
  <c r="D23" i="12" s="1"/>
  <c r="U47" i="7"/>
  <c r="M18" i="11" s="1"/>
  <c r="K12" i="7"/>
  <c r="G27" i="7" s="1"/>
  <c r="M40" i="11" l="1"/>
  <c r="F14" i="11"/>
  <c r="G14" i="11" s="1"/>
  <c r="K10" i="11" l="1"/>
  <c r="AP4" i="3" l="1"/>
  <c r="AT4" i="3" s="1"/>
  <c r="AQ4" i="3" l="1"/>
  <c r="AS4" i="3" l="1"/>
  <c r="AP5" i="3" l="1"/>
  <c r="AD172" i="3" l="1"/>
  <c r="AD171" i="3"/>
  <c r="AD170" i="3"/>
  <c r="AD169" i="3"/>
  <c r="AD168" i="3"/>
  <c r="AD167" i="3"/>
  <c r="AD166" i="3"/>
  <c r="AD165" i="3"/>
  <c r="AD164" i="3"/>
  <c r="AD163" i="3"/>
  <c r="AD162" i="3"/>
  <c r="AD161" i="3"/>
  <c r="AD160" i="3"/>
  <c r="AD159" i="3"/>
  <c r="AD158" i="3"/>
  <c r="AD157" i="3"/>
  <c r="AD156" i="3"/>
  <c r="AD155" i="3"/>
  <c r="AD154" i="3"/>
  <c r="AD153" i="3"/>
  <c r="AD152" i="3"/>
  <c r="AD151" i="3"/>
  <c r="AD150" i="3"/>
  <c r="AD149" i="3"/>
  <c r="AD148" i="3"/>
  <c r="AD147" i="3"/>
  <c r="AD146" i="3"/>
  <c r="AD145" i="3"/>
  <c r="AD144" i="3"/>
  <c r="AD143" i="3"/>
  <c r="AD142" i="3"/>
  <c r="AD141" i="3"/>
  <c r="AD140" i="3"/>
  <c r="AD139" i="3"/>
  <c r="AD138" i="3"/>
  <c r="AD137" i="3"/>
  <c r="AD136" i="3"/>
  <c r="AD135" i="3"/>
  <c r="AD134" i="3"/>
  <c r="AD133" i="3"/>
  <c r="AD132" i="3"/>
  <c r="AD131" i="3"/>
  <c r="AD130" i="3"/>
  <c r="AD129" i="3"/>
  <c r="AD128" i="3"/>
  <c r="AD127" i="3"/>
  <c r="AD126" i="3"/>
  <c r="AD125" i="3"/>
  <c r="AD124" i="3"/>
  <c r="AD123" i="3"/>
  <c r="AD122" i="3"/>
  <c r="AD121" i="3"/>
  <c r="AD120" i="3"/>
  <c r="AD119" i="3"/>
  <c r="AD118" i="3"/>
  <c r="AD117" i="3"/>
  <c r="AD116" i="3"/>
  <c r="AD115" i="3"/>
  <c r="AD114" i="3"/>
  <c r="AD113" i="3"/>
  <c r="AD112" i="3"/>
  <c r="AD111" i="3"/>
  <c r="AD110" i="3"/>
  <c r="AD109" i="3"/>
  <c r="AD108" i="3"/>
  <c r="AD107" i="3"/>
  <c r="AD106" i="3"/>
  <c r="AD105" i="3"/>
  <c r="AD104" i="3"/>
  <c r="AD103" i="3"/>
  <c r="AD102" i="3"/>
  <c r="AD101" i="3"/>
  <c r="AD100" i="3"/>
  <c r="AD99" i="3"/>
  <c r="AD98" i="3"/>
  <c r="AD97" i="3"/>
  <c r="AD96" i="3"/>
  <c r="AD95" i="3"/>
  <c r="AD94" i="3"/>
  <c r="AD93" i="3"/>
  <c r="AD92" i="3"/>
  <c r="AD91" i="3"/>
  <c r="AD90" i="3"/>
  <c r="AD89" i="3"/>
  <c r="AD88" i="3"/>
  <c r="AD87" i="3"/>
  <c r="AD86" i="3"/>
  <c r="AD85" i="3"/>
  <c r="AD84" i="3"/>
  <c r="AD83" i="3"/>
  <c r="AD82" i="3"/>
  <c r="AD81" i="3"/>
  <c r="AD80" i="3"/>
  <c r="AD79" i="3"/>
  <c r="AD78" i="3"/>
  <c r="AD77" i="3"/>
  <c r="AD76" i="3"/>
  <c r="AD75" i="3"/>
  <c r="AD74" i="3"/>
  <c r="AD73" i="3"/>
  <c r="AD72" i="3"/>
  <c r="AD71" i="3"/>
  <c r="AD70" i="3"/>
  <c r="AD69" i="3"/>
  <c r="AD68" i="3"/>
  <c r="AD67" i="3"/>
  <c r="AD66" i="3"/>
  <c r="AD65" i="3"/>
  <c r="AD64" i="3"/>
  <c r="AD63" i="3"/>
  <c r="AD62" i="3"/>
  <c r="AD61" i="3"/>
  <c r="AD60" i="3"/>
  <c r="AD59" i="3"/>
  <c r="AD58" i="3"/>
  <c r="AD57" i="3"/>
  <c r="AD56" i="3"/>
  <c r="AD55" i="3"/>
  <c r="AD54" i="3"/>
  <c r="AD53" i="3"/>
  <c r="AD52" i="3"/>
  <c r="AD51" i="3"/>
  <c r="AD50" i="3"/>
  <c r="AD49" i="3"/>
  <c r="AD48" i="3"/>
  <c r="AD47" i="3"/>
  <c r="AD46" i="3"/>
  <c r="AD45" i="3"/>
  <c r="AD44" i="3"/>
  <c r="AD43" i="3"/>
  <c r="AD42" i="3"/>
  <c r="AD41" i="3"/>
  <c r="AD40" i="3"/>
  <c r="AD39" i="3"/>
  <c r="AD38" i="3"/>
  <c r="AD37" i="3"/>
  <c r="AD36" i="3"/>
  <c r="AD35" i="3"/>
  <c r="AD34" i="3"/>
  <c r="AD33" i="3"/>
  <c r="AD32" i="3"/>
  <c r="AD31" i="3"/>
  <c r="AD30" i="3"/>
  <c r="AD29" i="3"/>
  <c r="AD28" i="3"/>
  <c r="AD27" i="3"/>
  <c r="AD26" i="3"/>
  <c r="AD25" i="3"/>
  <c r="AD24" i="3"/>
  <c r="AD23" i="3"/>
  <c r="AD22" i="3"/>
  <c r="AD21" i="3"/>
  <c r="AD20" i="3"/>
  <c r="AD19" i="3"/>
  <c r="AD18" i="3"/>
  <c r="AD17" i="3"/>
  <c r="AD16" i="3"/>
  <c r="AD15" i="3"/>
  <c r="AD14" i="3"/>
  <c r="AD13" i="3"/>
  <c r="AD12" i="3"/>
  <c r="AD11" i="3"/>
  <c r="AD10" i="3"/>
  <c r="AD9" i="3"/>
  <c r="AD8" i="3"/>
  <c r="AD7" i="3"/>
  <c r="AD6" i="3"/>
  <c r="AU5" i="3"/>
  <c r="AU6" i="3" s="1"/>
  <c r="AU7" i="3" s="1"/>
  <c r="AU8" i="3" s="1"/>
  <c r="AU9" i="3" s="1"/>
  <c r="AU10" i="3" s="1"/>
  <c r="AU11" i="3" s="1"/>
  <c r="AU12" i="3" s="1"/>
  <c r="AU13" i="3" s="1"/>
  <c r="AU14" i="3" s="1"/>
  <c r="AU15" i="3" s="1"/>
  <c r="AU16" i="3" s="1"/>
  <c r="AU17" i="3" s="1"/>
  <c r="AU18" i="3" s="1"/>
  <c r="AU19" i="3" s="1"/>
  <c r="AU20" i="3" s="1"/>
  <c r="AU21" i="3" s="1"/>
  <c r="AU22" i="3" s="1"/>
  <c r="AU23" i="3" s="1"/>
  <c r="AU24" i="3" s="1"/>
  <c r="AU25" i="3" s="1"/>
  <c r="AU26" i="3" s="1"/>
  <c r="AU27" i="3" s="1"/>
  <c r="AU28" i="3" s="1"/>
  <c r="AU29" i="3" s="1"/>
  <c r="AU30" i="3" s="1"/>
  <c r="AU31" i="3" s="1"/>
  <c r="AU32" i="3" s="1"/>
  <c r="AU33" i="3" s="1"/>
  <c r="AQ5" i="3"/>
  <c r="AP6" i="3"/>
  <c r="AP7" i="3" s="1"/>
  <c r="AP8" i="3" s="1"/>
  <c r="AP9" i="3" s="1"/>
  <c r="AP10" i="3" s="1"/>
  <c r="AP11" i="3" s="1"/>
  <c r="AP12" i="3" s="1"/>
  <c r="AP13" i="3" s="1"/>
  <c r="AP14" i="3" s="1"/>
  <c r="AP15" i="3" s="1"/>
  <c r="AP16" i="3" s="1"/>
  <c r="AP17" i="3" s="1"/>
  <c r="AP18" i="3" s="1"/>
  <c r="AP19" i="3" s="1"/>
  <c r="AP20" i="3" s="1"/>
  <c r="AP21" i="3" s="1"/>
  <c r="AP22" i="3" s="1"/>
  <c r="AP23" i="3" s="1"/>
  <c r="AP24" i="3" s="1"/>
  <c r="AP25" i="3" s="1"/>
  <c r="AP26" i="3" s="1"/>
  <c r="AP27" i="3" s="1"/>
  <c r="AP28" i="3" s="1"/>
  <c r="AP29" i="3" s="1"/>
  <c r="AP30" i="3" s="1"/>
  <c r="AP31" i="3" s="1"/>
  <c r="AP32" i="3" s="1"/>
  <c r="AP33" i="3" s="1"/>
  <c r="AD5" i="3"/>
  <c r="AT5" i="3"/>
  <c r="AT6" i="3" s="1"/>
  <c r="AT7" i="3" s="1"/>
  <c r="AT8" i="3" s="1"/>
  <c r="AT9" i="3" s="1"/>
  <c r="AT10" i="3" s="1"/>
  <c r="AT11" i="3" s="1"/>
  <c r="AT12" i="3" s="1"/>
  <c r="AT13" i="3" s="1"/>
  <c r="AT14" i="3" s="1"/>
  <c r="AT15" i="3" s="1"/>
  <c r="AT16" i="3" s="1"/>
  <c r="AT17" i="3" s="1"/>
  <c r="AT18" i="3" s="1"/>
  <c r="AT19" i="3" s="1"/>
  <c r="AT20" i="3" s="1"/>
  <c r="AT21" i="3" s="1"/>
  <c r="AT22" i="3" s="1"/>
  <c r="AT23" i="3" s="1"/>
  <c r="AT24" i="3" s="1"/>
  <c r="AT25" i="3" s="1"/>
  <c r="AT26" i="3" s="1"/>
  <c r="AT27" i="3" s="1"/>
  <c r="AT28" i="3" s="1"/>
  <c r="AT29" i="3" s="1"/>
  <c r="AT30" i="3" s="1"/>
  <c r="AT31" i="3" s="1"/>
  <c r="AT32" i="3" s="1"/>
  <c r="AT33" i="3" s="1"/>
  <c r="K187" i="3"/>
  <c r="M187" i="3" s="1"/>
  <c r="N187" i="3" s="1"/>
  <c r="K186" i="3"/>
  <c r="M186" i="3" s="1"/>
  <c r="N186" i="3" s="1"/>
  <c r="K185" i="3"/>
  <c r="M185" i="3" s="1"/>
  <c r="N185" i="3" s="1"/>
  <c r="K184" i="3"/>
  <c r="M184" i="3" s="1"/>
  <c r="N184" i="3" s="1"/>
  <c r="K183" i="3"/>
  <c r="M183" i="3" s="1"/>
  <c r="N183" i="3" s="1"/>
  <c r="K182" i="3"/>
  <c r="M182" i="3" s="1"/>
  <c r="N182" i="3" s="1"/>
  <c r="K181" i="3"/>
  <c r="M181" i="3" s="1"/>
  <c r="N181" i="3" s="1"/>
  <c r="K180" i="3"/>
  <c r="M180" i="3" s="1"/>
  <c r="N180" i="3" s="1"/>
  <c r="K179" i="3"/>
  <c r="M179" i="3" s="1"/>
  <c r="N179" i="3" s="1"/>
  <c r="K178" i="3"/>
  <c r="M178" i="3" s="1"/>
  <c r="N178" i="3" s="1"/>
  <c r="K177" i="3"/>
  <c r="M177" i="3" s="1"/>
  <c r="N177" i="3" s="1"/>
  <c r="K176" i="3"/>
  <c r="M176" i="3" s="1"/>
  <c r="N176" i="3" s="1"/>
  <c r="K175" i="3"/>
  <c r="M175" i="3" s="1"/>
  <c r="N175" i="3" s="1"/>
  <c r="K174" i="3"/>
  <c r="M174" i="3" s="1"/>
  <c r="N174" i="3" s="1"/>
  <c r="K173" i="3"/>
  <c r="M173" i="3" s="1"/>
  <c r="N173" i="3" s="1"/>
  <c r="K172" i="3"/>
  <c r="M172" i="3" s="1"/>
  <c r="N172" i="3" s="1"/>
  <c r="K171" i="3"/>
  <c r="M171" i="3" s="1"/>
  <c r="N171" i="3" s="1"/>
  <c r="K170" i="3"/>
  <c r="M170" i="3" s="1"/>
  <c r="N170" i="3" s="1"/>
  <c r="K169" i="3"/>
  <c r="M169" i="3" s="1"/>
  <c r="N169" i="3" s="1"/>
  <c r="K168" i="3"/>
  <c r="M168" i="3" s="1"/>
  <c r="N168" i="3" s="1"/>
  <c r="K167" i="3"/>
  <c r="M167" i="3" s="1"/>
  <c r="N167" i="3" s="1"/>
  <c r="K166" i="3"/>
  <c r="M166" i="3" s="1"/>
  <c r="N166" i="3" s="1"/>
  <c r="K165" i="3"/>
  <c r="M165" i="3" s="1"/>
  <c r="N165" i="3" s="1"/>
  <c r="K164" i="3"/>
  <c r="M164" i="3" s="1"/>
  <c r="N164" i="3" s="1"/>
  <c r="K163" i="3"/>
  <c r="M163" i="3" s="1"/>
  <c r="N163" i="3" s="1"/>
  <c r="K162" i="3"/>
  <c r="M162" i="3" s="1"/>
  <c r="N162" i="3" s="1"/>
  <c r="K161" i="3"/>
  <c r="M161" i="3" s="1"/>
  <c r="N161" i="3" s="1"/>
  <c r="K160" i="3"/>
  <c r="M160" i="3" s="1"/>
  <c r="N160" i="3" s="1"/>
  <c r="K159" i="3"/>
  <c r="M159" i="3" s="1"/>
  <c r="N159" i="3" s="1"/>
  <c r="K158" i="3"/>
  <c r="M158" i="3" s="1"/>
  <c r="N158" i="3" s="1"/>
  <c r="K157" i="3"/>
  <c r="M157" i="3" s="1"/>
  <c r="N157" i="3" s="1"/>
  <c r="K156" i="3"/>
  <c r="M156" i="3" s="1"/>
  <c r="N156" i="3" s="1"/>
  <c r="K155" i="3"/>
  <c r="M155" i="3" s="1"/>
  <c r="N155" i="3" s="1"/>
  <c r="K154" i="3"/>
  <c r="M154" i="3" s="1"/>
  <c r="N154" i="3" s="1"/>
  <c r="K153" i="3"/>
  <c r="M153" i="3" s="1"/>
  <c r="N153" i="3" s="1"/>
  <c r="K152" i="3"/>
  <c r="M152" i="3" s="1"/>
  <c r="N152" i="3" s="1"/>
  <c r="K151" i="3"/>
  <c r="M151" i="3" s="1"/>
  <c r="N151" i="3" s="1"/>
  <c r="K150" i="3"/>
  <c r="M150" i="3" s="1"/>
  <c r="N150" i="3" s="1"/>
  <c r="K149" i="3"/>
  <c r="M149" i="3" s="1"/>
  <c r="N149" i="3" s="1"/>
  <c r="K148" i="3"/>
  <c r="M148" i="3" s="1"/>
  <c r="N148" i="3" s="1"/>
  <c r="K147" i="3"/>
  <c r="M147" i="3" s="1"/>
  <c r="N147" i="3" s="1"/>
  <c r="K146" i="3"/>
  <c r="M146" i="3" s="1"/>
  <c r="N146" i="3" s="1"/>
  <c r="K145" i="3"/>
  <c r="M145" i="3" s="1"/>
  <c r="N145" i="3" s="1"/>
  <c r="K144" i="3"/>
  <c r="M144" i="3" s="1"/>
  <c r="N144" i="3" s="1"/>
  <c r="K143" i="3"/>
  <c r="M143" i="3" s="1"/>
  <c r="N143" i="3" s="1"/>
  <c r="K142" i="3"/>
  <c r="M142" i="3" s="1"/>
  <c r="N142" i="3" s="1"/>
  <c r="K141" i="3"/>
  <c r="M141" i="3" s="1"/>
  <c r="N141" i="3" s="1"/>
  <c r="K140" i="3"/>
  <c r="M140" i="3" s="1"/>
  <c r="N140" i="3" s="1"/>
  <c r="K139" i="3"/>
  <c r="M139" i="3" s="1"/>
  <c r="N139" i="3" s="1"/>
  <c r="K138" i="3"/>
  <c r="M138" i="3" s="1"/>
  <c r="N138" i="3" s="1"/>
  <c r="K137" i="3"/>
  <c r="M137" i="3" s="1"/>
  <c r="N137" i="3" s="1"/>
  <c r="K136" i="3"/>
  <c r="M136" i="3" s="1"/>
  <c r="N136" i="3" s="1"/>
  <c r="K135" i="3"/>
  <c r="M135" i="3" s="1"/>
  <c r="N135" i="3" s="1"/>
  <c r="K134" i="3"/>
  <c r="M134" i="3" s="1"/>
  <c r="N134" i="3" s="1"/>
  <c r="K133" i="3"/>
  <c r="M133" i="3" s="1"/>
  <c r="N133" i="3" s="1"/>
  <c r="K132" i="3"/>
  <c r="M132" i="3" s="1"/>
  <c r="N132" i="3" s="1"/>
  <c r="K131" i="3"/>
  <c r="M131" i="3" s="1"/>
  <c r="N131" i="3" s="1"/>
  <c r="K130" i="3"/>
  <c r="M130" i="3" s="1"/>
  <c r="N130" i="3" s="1"/>
  <c r="K129" i="3"/>
  <c r="M129" i="3" s="1"/>
  <c r="N129" i="3" s="1"/>
  <c r="K128" i="3"/>
  <c r="M128" i="3" s="1"/>
  <c r="N128" i="3" s="1"/>
  <c r="K127" i="3"/>
  <c r="M127" i="3" s="1"/>
  <c r="N127" i="3" s="1"/>
  <c r="K126" i="3"/>
  <c r="M126" i="3" s="1"/>
  <c r="N126" i="3" s="1"/>
  <c r="K125" i="3"/>
  <c r="M125" i="3" s="1"/>
  <c r="N125" i="3" s="1"/>
  <c r="K124" i="3"/>
  <c r="M124" i="3" s="1"/>
  <c r="N124" i="3" s="1"/>
  <c r="K123" i="3"/>
  <c r="M123" i="3" s="1"/>
  <c r="N123" i="3" s="1"/>
  <c r="K122" i="3"/>
  <c r="M122" i="3" s="1"/>
  <c r="N122" i="3" s="1"/>
  <c r="K121" i="3"/>
  <c r="M121" i="3" s="1"/>
  <c r="N121" i="3" s="1"/>
  <c r="K120" i="3"/>
  <c r="M120" i="3" s="1"/>
  <c r="N120" i="3" s="1"/>
  <c r="K119" i="3"/>
  <c r="M119" i="3" s="1"/>
  <c r="N119" i="3" s="1"/>
  <c r="K118" i="3"/>
  <c r="M118" i="3" s="1"/>
  <c r="N118" i="3" s="1"/>
  <c r="K117" i="3"/>
  <c r="M117" i="3" s="1"/>
  <c r="N117" i="3" s="1"/>
  <c r="K116" i="3"/>
  <c r="M116" i="3" s="1"/>
  <c r="N116" i="3" s="1"/>
  <c r="K115" i="3"/>
  <c r="M115" i="3" s="1"/>
  <c r="N115" i="3" s="1"/>
  <c r="K114" i="3"/>
  <c r="M114" i="3" s="1"/>
  <c r="N114" i="3" s="1"/>
  <c r="K113" i="3"/>
  <c r="M113" i="3" s="1"/>
  <c r="N113" i="3" s="1"/>
  <c r="K112" i="3"/>
  <c r="M112" i="3" s="1"/>
  <c r="N112" i="3" s="1"/>
  <c r="K111" i="3"/>
  <c r="M111" i="3" s="1"/>
  <c r="N111" i="3" s="1"/>
  <c r="K110" i="3"/>
  <c r="M110" i="3" s="1"/>
  <c r="N110" i="3" s="1"/>
  <c r="K109" i="3"/>
  <c r="M109" i="3" s="1"/>
  <c r="N109" i="3" s="1"/>
  <c r="K108" i="3"/>
  <c r="M108" i="3" s="1"/>
  <c r="N108" i="3" s="1"/>
  <c r="K107" i="3"/>
  <c r="M107" i="3" s="1"/>
  <c r="N107" i="3" s="1"/>
  <c r="K106" i="3"/>
  <c r="M106" i="3" s="1"/>
  <c r="N106" i="3" s="1"/>
  <c r="K105" i="3"/>
  <c r="M105" i="3" s="1"/>
  <c r="N105" i="3" s="1"/>
  <c r="L21" i="3"/>
  <c r="M21" i="3" s="1"/>
  <c r="N21" i="3" s="1"/>
  <c r="L20" i="3"/>
  <c r="M20" i="3" s="1"/>
  <c r="N20" i="3" s="1"/>
  <c r="L19" i="3"/>
  <c r="M19" i="3" s="1"/>
  <c r="N19" i="3" s="1"/>
  <c r="L18" i="3"/>
  <c r="M18" i="3" s="1"/>
  <c r="N18" i="3" s="1"/>
  <c r="L17" i="3"/>
  <c r="M17" i="3" s="1"/>
  <c r="N17" i="3" s="1"/>
  <c r="L16" i="3"/>
  <c r="M16" i="3" s="1"/>
  <c r="N16" i="3" s="1"/>
  <c r="L15" i="3"/>
  <c r="M15" i="3" s="1"/>
  <c r="N15" i="3" s="1"/>
  <c r="L14" i="3"/>
  <c r="M14" i="3" s="1"/>
  <c r="N14" i="3" s="1"/>
  <c r="L13" i="3"/>
  <c r="M13" i="3" s="1"/>
  <c r="N13" i="3" s="1"/>
  <c r="L12" i="3"/>
  <c r="M12" i="3" s="1"/>
  <c r="N12" i="3" s="1"/>
  <c r="L11" i="3"/>
  <c r="M11" i="3" s="1"/>
  <c r="N11" i="3" s="1"/>
  <c r="L10" i="3"/>
  <c r="M10" i="3" s="1"/>
  <c r="N10" i="3" s="1"/>
  <c r="L9" i="3"/>
  <c r="M9" i="3" s="1"/>
  <c r="N9" i="3" s="1"/>
  <c r="L8" i="3"/>
  <c r="M8" i="3" s="1"/>
  <c r="N8" i="3" s="1"/>
  <c r="L7" i="3"/>
  <c r="M7" i="3" s="1"/>
  <c r="N7" i="3" s="1"/>
  <c r="L6" i="3"/>
  <c r="M6" i="3" s="1"/>
  <c r="N6" i="3" s="1"/>
  <c r="L5" i="3"/>
  <c r="M5" i="3" s="1"/>
  <c r="N5" i="3" s="1"/>
  <c r="N4" i="3"/>
  <c r="F81" i="3"/>
  <c r="F80" i="3"/>
  <c r="F74" i="3"/>
  <c r="F71" i="3"/>
  <c r="F66" i="3"/>
  <c r="F65" i="3"/>
  <c r="F64" i="3"/>
  <c r="F63" i="3"/>
  <c r="F62" i="3"/>
  <c r="F61" i="3"/>
  <c r="F60" i="3"/>
  <c r="F8" i="3"/>
  <c r="F59" i="3"/>
  <c r="F58" i="3"/>
  <c r="F57" i="3"/>
  <c r="F56" i="3"/>
  <c r="F55" i="3"/>
  <c r="F54" i="3"/>
  <c r="F7" i="3"/>
  <c r="F53" i="3"/>
  <c r="F5" i="3"/>
  <c r="F52" i="3"/>
  <c r="F6" i="3"/>
  <c r="F51" i="3"/>
  <c r="F50" i="3"/>
  <c r="F49" i="3"/>
  <c r="F48" i="3"/>
  <c r="F47" i="3"/>
  <c r="F46" i="3"/>
  <c r="F45" i="3"/>
  <c r="F4" i="3"/>
  <c r="F44" i="3"/>
  <c r="F43" i="3"/>
  <c r="F10" i="3"/>
  <c r="F42" i="3"/>
  <c r="F41" i="3"/>
  <c r="F40" i="3"/>
  <c r="F39" i="3"/>
  <c r="F38" i="3"/>
  <c r="F37" i="3"/>
  <c r="F36" i="3"/>
  <c r="F35" i="3"/>
  <c r="F34" i="3"/>
  <c r="F33" i="3"/>
  <c r="F32" i="3"/>
  <c r="F31" i="3"/>
  <c r="F30" i="3"/>
  <c r="F29" i="3"/>
  <c r="F28" i="3"/>
  <c r="F27" i="3"/>
  <c r="F26" i="3"/>
  <c r="F25" i="3"/>
  <c r="F24" i="3"/>
  <c r="F23" i="3"/>
  <c r="F22" i="3"/>
  <c r="F21" i="3"/>
  <c r="F20" i="3"/>
  <c r="F19" i="3"/>
  <c r="F18" i="3"/>
  <c r="F17" i="3"/>
  <c r="F14" i="3"/>
  <c r="F16" i="3"/>
  <c r="F3" i="3"/>
  <c r="E16" i="7" s="1"/>
  <c r="F15" i="3"/>
  <c r="F13" i="3"/>
  <c r="F2" i="3"/>
  <c r="F9" i="3"/>
  <c r="F11" i="3"/>
  <c r="F12" i="3"/>
  <c r="F70" i="3" l="1"/>
  <c r="H33" i="7"/>
  <c r="H29" i="7"/>
  <c r="T13" i="7" s="1"/>
  <c r="F33" i="7"/>
  <c r="F29" i="7"/>
  <c r="D33" i="7"/>
  <c r="D29" i="7"/>
  <c r="L17" i="7"/>
  <c r="L21" i="7"/>
  <c r="J17" i="7"/>
  <c r="J21" i="7"/>
  <c r="H17" i="7"/>
  <c r="H21" i="7"/>
  <c r="H30" i="7"/>
  <c r="T14" i="7" s="1"/>
  <c r="L36" i="11" s="1"/>
  <c r="H34" i="7"/>
  <c r="F30" i="7"/>
  <c r="S14" i="7" s="1"/>
  <c r="F34" i="7"/>
  <c r="D30" i="7"/>
  <c r="D34" i="7"/>
  <c r="L22" i="7"/>
  <c r="J22" i="7"/>
  <c r="H22" i="7"/>
  <c r="H31" i="7"/>
  <c r="H35" i="7"/>
  <c r="F31" i="7"/>
  <c r="F35" i="7"/>
  <c r="D31" i="7"/>
  <c r="D35" i="7"/>
  <c r="L19" i="7"/>
  <c r="L23" i="7"/>
  <c r="J19" i="7"/>
  <c r="J23" i="7"/>
  <c r="H19" i="7"/>
  <c r="H23" i="7"/>
  <c r="H32" i="7"/>
  <c r="H36" i="7"/>
  <c r="F32" i="7"/>
  <c r="F36" i="7"/>
  <c r="D32" i="7"/>
  <c r="D36" i="7"/>
  <c r="L20" i="7"/>
  <c r="J20" i="7"/>
  <c r="H20" i="7"/>
  <c r="L18" i="7"/>
  <c r="J18" i="7"/>
  <c r="H18" i="7"/>
  <c r="F69" i="3"/>
  <c r="E69" i="3" s="1"/>
  <c r="F75" i="3"/>
  <c r="E75" i="3" s="1"/>
  <c r="F78" i="3"/>
  <c r="E78" i="3" s="1"/>
  <c r="F72" i="3"/>
  <c r="E72" i="3" s="1"/>
  <c r="E81" i="3"/>
  <c r="F68" i="3"/>
  <c r="E68" i="3" s="1"/>
  <c r="F73" i="3"/>
  <c r="E73" i="3" s="1"/>
  <c r="E71" i="3"/>
  <c r="E80" i="3"/>
  <c r="E19" i="3"/>
  <c r="E2" i="3"/>
  <c r="E20" i="3"/>
  <c r="E38" i="3"/>
  <c r="E50" i="3"/>
  <c r="E31" i="3"/>
  <c r="E49" i="3"/>
  <c r="AQ6" i="3"/>
  <c r="AQ7" i="3" s="1"/>
  <c r="AS5" i="3"/>
  <c r="E27" i="3"/>
  <c r="E16" i="3"/>
  <c r="E7" i="3"/>
  <c r="E70" i="3"/>
  <c r="E74" i="3"/>
  <c r="E15" i="3"/>
  <c r="E32" i="3"/>
  <c r="E65" i="3"/>
  <c r="E8" i="3"/>
  <c r="E60" i="3"/>
  <c r="E64" i="3"/>
  <c r="E11" i="3"/>
  <c r="E13" i="3"/>
  <c r="E24" i="3"/>
  <c r="E35" i="3"/>
  <c r="E10" i="3"/>
  <c r="E34" i="3"/>
  <c r="E42" i="3"/>
  <c r="E36" i="3"/>
  <c r="E55" i="3"/>
  <c r="E18" i="3"/>
  <c r="E22" i="3"/>
  <c r="E37" i="3"/>
  <c r="E56" i="3"/>
  <c r="F76" i="3"/>
  <c r="E76" i="3" s="1"/>
  <c r="F79" i="3"/>
  <c r="E79" i="3" s="1"/>
  <c r="F77" i="3"/>
  <c r="E77" i="3" s="1"/>
  <c r="E25" i="3"/>
  <c r="E41" i="3"/>
  <c r="E21" i="3"/>
  <c r="E23" i="3"/>
  <c r="E39" i="3"/>
  <c r="E47" i="3"/>
  <c r="E54" i="3"/>
  <c r="E61" i="3"/>
  <c r="E33" i="3"/>
  <c r="E51" i="3"/>
  <c r="E52" i="3"/>
  <c r="E53" i="3"/>
  <c r="E58" i="3"/>
  <c r="E63" i="3"/>
  <c r="E29" i="3"/>
  <c r="E44" i="3"/>
  <c r="E45" i="3"/>
  <c r="E17" i="3"/>
  <c r="E3" i="3"/>
  <c r="E12" i="3"/>
  <c r="E14" i="3"/>
  <c r="E40" i="3"/>
  <c r="E46" i="3"/>
  <c r="E5" i="3"/>
  <c r="E59" i="3"/>
  <c r="E66" i="3"/>
  <c r="E30" i="3"/>
  <c r="E4" i="3"/>
  <c r="E6" i="3"/>
  <c r="E57" i="3"/>
  <c r="E28" i="3"/>
  <c r="E43" i="3"/>
  <c r="E62" i="3"/>
  <c r="E9" i="3"/>
  <c r="E26" i="3"/>
  <c r="E48" i="3"/>
  <c r="L35" i="11" l="1"/>
  <c r="S13" i="7"/>
  <c r="K35" i="11" s="1"/>
  <c r="R14" i="7"/>
  <c r="J36" i="11" s="1"/>
  <c r="R13" i="7"/>
  <c r="J35" i="11" s="1"/>
  <c r="K36" i="11"/>
  <c r="D12" i="11"/>
  <c r="AS6" i="3"/>
  <c r="AQ8" i="3"/>
  <c r="AS7" i="3"/>
  <c r="F14" i="7"/>
  <c r="W14" i="7" s="1"/>
  <c r="X14" i="7" s="1"/>
  <c r="B23" i="11"/>
  <c r="C23" i="11"/>
  <c r="D23" i="11"/>
  <c r="F22" i="7"/>
  <c r="R10" i="7"/>
  <c r="C11" i="12"/>
  <c r="D11" i="12" s="1"/>
  <c r="E29" i="12"/>
  <c r="E30" i="12"/>
  <c r="E17" i="12"/>
  <c r="E18" i="12"/>
  <c r="E25" i="11"/>
  <c r="C21" i="11"/>
  <c r="D21" i="11" s="1"/>
  <c r="C10" i="11"/>
  <c r="K33" i="11" s="1"/>
  <c r="M35" i="11" l="1"/>
  <c r="C12" i="11"/>
  <c r="U14" i="7"/>
  <c r="M13" i="11" s="1"/>
  <c r="M36" i="11"/>
  <c r="U13" i="7"/>
  <c r="M12" i="11" s="1"/>
  <c r="L12" i="11" s="1"/>
  <c r="B12" i="11"/>
  <c r="H14" i="7"/>
  <c r="J14" i="7"/>
  <c r="L14" i="7"/>
  <c r="D10" i="11"/>
  <c r="L33" i="11" s="1"/>
  <c r="D16" i="7"/>
  <c r="AQ9" i="3"/>
  <c r="AS8" i="3"/>
  <c r="D15" i="7"/>
  <c r="E15" i="11"/>
  <c r="D14" i="7"/>
  <c r="E23" i="11"/>
  <c r="F18" i="7"/>
  <c r="E17" i="11"/>
  <c r="F19" i="7"/>
  <c r="D23" i="7"/>
  <c r="D22" i="7"/>
  <c r="F16" i="7"/>
  <c r="D19" i="7"/>
  <c r="D18" i="7"/>
  <c r="F15" i="7"/>
  <c r="D21" i="7"/>
  <c r="F21" i="7"/>
  <c r="D20" i="7"/>
  <c r="F23" i="7"/>
  <c r="D17" i="7"/>
  <c r="F17" i="7"/>
  <c r="F20" i="7"/>
  <c r="L19" i="11"/>
  <c r="Y24" i="7" l="1"/>
  <c r="L15" i="7"/>
  <c r="T12" i="7" s="1"/>
  <c r="J15" i="7"/>
  <c r="S12" i="7" s="1"/>
  <c r="H15" i="7"/>
  <c r="R12" i="7" s="1"/>
  <c r="H16" i="7"/>
  <c r="J16" i="7"/>
  <c r="L16" i="7"/>
  <c r="T11" i="7" s="1"/>
  <c r="I36" i="7"/>
  <c r="I31" i="7"/>
  <c r="I34" i="7"/>
  <c r="I35" i="7"/>
  <c r="I30" i="7"/>
  <c r="I33" i="7"/>
  <c r="I32" i="7"/>
  <c r="I29" i="7"/>
  <c r="AQ10" i="3"/>
  <c r="AS9" i="3"/>
  <c r="E25" i="12"/>
  <c r="S10" i="7"/>
  <c r="E14" i="12"/>
  <c r="D11" i="11" l="1"/>
  <c r="U12" i="7"/>
  <c r="R11" i="7"/>
  <c r="B11" i="11" s="1"/>
  <c r="H24" i="7"/>
  <c r="T15" i="7"/>
  <c r="D13" i="11" s="1"/>
  <c r="L37" i="11" s="1"/>
  <c r="D12" i="12" s="1"/>
  <c r="L24" i="7"/>
  <c r="S11" i="7"/>
  <c r="J24" i="7"/>
  <c r="AQ11" i="3"/>
  <c r="AS10" i="3"/>
  <c r="E16" i="11"/>
  <c r="T10" i="7"/>
  <c r="B37" i="12" l="1"/>
  <c r="J34" i="11"/>
  <c r="B13" i="12" s="1"/>
  <c r="D37" i="12"/>
  <c r="L34" i="11"/>
  <c r="D13" i="12" s="1"/>
  <c r="R15" i="7"/>
  <c r="B13" i="11" s="1"/>
  <c r="S15" i="7"/>
  <c r="C13" i="11" s="1"/>
  <c r="K37" i="11" s="1"/>
  <c r="C12" i="12" s="1"/>
  <c r="C11" i="11"/>
  <c r="K34" i="11" s="1"/>
  <c r="C13" i="12" s="1"/>
  <c r="D34" i="12"/>
  <c r="M10" i="11"/>
  <c r="AQ12" i="3"/>
  <c r="AS11" i="3"/>
  <c r="N19" i="7"/>
  <c r="N22" i="7"/>
  <c r="N20" i="7"/>
  <c r="N17" i="7"/>
  <c r="N23" i="7"/>
  <c r="N18" i="7"/>
  <c r="N16" i="7"/>
  <c r="N14" i="7"/>
  <c r="N21" i="7"/>
  <c r="L10" i="11" l="1"/>
  <c r="K42" i="11"/>
  <c r="J37" i="11"/>
  <c r="M34" i="11"/>
  <c r="B34" i="12"/>
  <c r="R16" i="7"/>
  <c r="U15" i="7"/>
  <c r="M15" i="11" s="1"/>
  <c r="S16" i="7"/>
  <c r="C37" i="12"/>
  <c r="C34" i="12"/>
  <c r="L18" i="11"/>
  <c r="N24" i="7"/>
  <c r="L13" i="11"/>
  <c r="B26" i="12"/>
  <c r="N15" i="7"/>
  <c r="B18" i="11"/>
  <c r="T16" i="7"/>
  <c r="AQ13" i="3"/>
  <c r="AS12" i="3"/>
  <c r="M37" i="11" l="1"/>
  <c r="M42" i="11" s="1"/>
  <c r="B12" i="12"/>
  <c r="J42" i="11"/>
  <c r="E34" i="12"/>
  <c r="M11" i="11"/>
  <c r="L11" i="11" s="1"/>
  <c r="AQ14" i="3"/>
  <c r="AS13" i="3"/>
  <c r="C26" i="12"/>
  <c r="D26" i="12" l="1"/>
  <c r="AQ15" i="3"/>
  <c r="AS14" i="3"/>
  <c r="C18" i="11"/>
  <c r="C15" i="12"/>
  <c r="B24" i="12"/>
  <c r="B15" i="12"/>
  <c r="AQ16" i="3" l="1"/>
  <c r="AS15" i="3"/>
  <c r="D18" i="11"/>
  <c r="D24" i="12"/>
  <c r="D27" i="12" s="1"/>
  <c r="C24" i="12"/>
  <c r="C27" i="12" s="1"/>
  <c r="B27" i="12"/>
  <c r="AQ17" i="3" l="1"/>
  <c r="AS16" i="3"/>
  <c r="D15" i="12"/>
  <c r="AQ18" i="3" l="1"/>
  <c r="AS17" i="3"/>
  <c r="AQ19" i="3" l="1"/>
  <c r="AS18" i="3"/>
  <c r="AQ20" i="3" l="1"/>
  <c r="AS19" i="3"/>
  <c r="U11" i="7"/>
  <c r="M17" i="11" s="1"/>
  <c r="M16" i="11" s="1"/>
  <c r="M21" i="11" s="1"/>
  <c r="E12" i="11" l="1"/>
  <c r="AQ21" i="3"/>
  <c r="AS20" i="3"/>
  <c r="L16" i="11"/>
  <c r="L17" i="11"/>
  <c r="E37" i="12"/>
  <c r="U16" i="7"/>
  <c r="AQ22" i="3" l="1"/>
  <c r="AS21" i="3"/>
  <c r="E26" i="12"/>
  <c r="E13" i="12"/>
  <c r="E11" i="11"/>
  <c r="AQ23" i="3" l="1"/>
  <c r="AS22" i="3"/>
  <c r="AQ24" i="3" l="1"/>
  <c r="AS23" i="3"/>
  <c r="E12" i="12"/>
  <c r="E15" i="12" s="1"/>
  <c r="E13" i="11"/>
  <c r="L15" i="11"/>
  <c r="E18" i="11" l="1"/>
  <c r="B26" i="11" s="1"/>
  <c r="F18" i="11"/>
  <c r="AQ25" i="3"/>
  <c r="AS24" i="3"/>
  <c r="A26" i="11" l="1"/>
  <c r="D26" i="11"/>
  <c r="C26" i="11"/>
  <c r="C20" i="12" s="1"/>
  <c r="B27" i="11"/>
  <c r="E24" i="12"/>
  <c r="E27" i="12" s="1"/>
  <c r="AQ26" i="3"/>
  <c r="AS25" i="3"/>
  <c r="D28" i="12" l="1"/>
  <c r="D31" i="12" s="1"/>
  <c r="D20" i="12"/>
  <c r="D27" i="11"/>
  <c r="C27" i="11"/>
  <c r="E26" i="11"/>
  <c r="D29" i="11" s="1"/>
  <c r="D19" i="12"/>
  <c r="B28" i="12"/>
  <c r="B31" i="12" s="1"/>
  <c r="B19" i="12"/>
  <c r="C28" i="12"/>
  <c r="C31" i="12" s="1"/>
  <c r="C19" i="12"/>
  <c r="E16" i="12"/>
  <c r="E19" i="12" s="1"/>
  <c r="AQ27" i="3"/>
  <c r="AS26" i="3"/>
  <c r="A29" i="11" l="1"/>
  <c r="B20" i="12"/>
  <c r="E20" i="12" s="1"/>
  <c r="E29" i="11"/>
  <c r="E30" i="11" s="1"/>
  <c r="E27" i="11"/>
  <c r="H25" i="11"/>
  <c r="M23" i="11"/>
  <c r="M25" i="11"/>
  <c r="E28" i="12"/>
  <c r="E31" i="12" s="1"/>
  <c r="AQ28" i="3"/>
  <c r="AS27" i="3"/>
  <c r="AQ29" i="3" l="1"/>
  <c r="AS28" i="3"/>
  <c r="AQ30" i="3" l="1"/>
  <c r="AS29" i="3"/>
  <c r="AQ31" i="3" l="1"/>
  <c r="AS30" i="3"/>
  <c r="AQ32" i="3" l="1"/>
  <c r="AS31" i="3"/>
  <c r="AQ33" i="3" l="1"/>
  <c r="AS33" i="3" s="1"/>
  <c r="AS32"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A13" authorId="0" shapeId="0" xr:uid="{00000000-0006-0000-0100-000001000000}">
      <text>
        <r>
          <rPr>
            <b/>
            <sz val="9"/>
            <color indexed="81"/>
            <rFont val="Tahoma"/>
            <family val="2"/>
          </rPr>
          <t>Author:</t>
        </r>
        <r>
          <rPr>
            <sz val="9"/>
            <color indexed="81"/>
            <rFont val="Tahoma"/>
            <family val="2"/>
          </rPr>
          <t xml:space="preserve">
Her kan, om ønskelig, navn angis</t>
        </r>
      </text>
    </comment>
    <comment ref="E13" authorId="0" shapeId="0" xr:uid="{00000000-0006-0000-0100-000002000000}">
      <text>
        <r>
          <rPr>
            <sz val="11"/>
            <color indexed="81"/>
            <rFont val="Tahoma"/>
            <family val="2"/>
          </rPr>
          <t xml:space="preserve">
Det er kun for timeføring i Maconomy at det er aktuelt å velge  priskategori. </t>
        </r>
      </text>
    </comment>
    <comment ref="G13" authorId="0" shapeId="0" xr:uid="{00000000-0006-0000-0100-000003000000}">
      <text>
        <r>
          <rPr>
            <sz val="9"/>
            <color indexed="81"/>
            <rFont val="Tahoma"/>
            <family val="2"/>
          </rPr>
          <t xml:space="preserve">
</t>
        </r>
        <r>
          <rPr>
            <u/>
            <sz val="11"/>
            <color indexed="81"/>
            <rFont val="Tahoma"/>
            <family val="2"/>
          </rPr>
          <t xml:space="preserve">Legg inn antall timer </t>
        </r>
        <r>
          <rPr>
            <sz val="11"/>
            <color indexed="81"/>
            <rFont val="Tahoma"/>
            <family val="2"/>
          </rPr>
          <t xml:space="preserve">hvis timeføring i Maconomy skal benyttes.
</t>
        </r>
        <r>
          <rPr>
            <u/>
            <sz val="11"/>
            <color indexed="81"/>
            <rFont val="Tahoma"/>
            <family val="2"/>
          </rPr>
          <t xml:space="preserve">Legg inn beløp </t>
        </r>
        <r>
          <rPr>
            <sz val="11"/>
            <color indexed="81"/>
            <rFont val="Tahoma"/>
            <family val="2"/>
          </rPr>
          <t>ved ompostering av lønn. Budsjettert beløp skal være ekskl. sosiale kostnader. Sosiale og indirekte kostnader beregnes automatisk i Sum.</t>
        </r>
        <r>
          <rPr>
            <sz val="9"/>
            <color indexed="81"/>
            <rFont val="Tahoma"/>
            <family val="2"/>
          </rPr>
          <t xml:space="preserve">
</t>
        </r>
      </text>
    </comment>
    <comment ref="I13" authorId="0" shapeId="0" xr:uid="{FF49A78E-D2B0-431D-BB6B-8FFB03244CE0}">
      <text>
        <r>
          <rPr>
            <b/>
            <sz val="9"/>
            <color indexed="81"/>
            <rFont val="Tahoma"/>
            <family val="2"/>
          </rPr>
          <t xml:space="preserve">
</t>
        </r>
        <r>
          <rPr>
            <sz val="11"/>
            <color indexed="81"/>
            <rFont val="Tahoma"/>
            <family val="2"/>
          </rPr>
          <t xml:space="preserve">Legg inn </t>
        </r>
        <r>
          <rPr>
            <u/>
            <sz val="11"/>
            <color indexed="81"/>
            <rFont val="Tahoma"/>
            <family val="2"/>
          </rPr>
          <t>antall timer</t>
        </r>
        <r>
          <rPr>
            <sz val="11"/>
            <color indexed="81"/>
            <rFont val="Tahoma"/>
            <family val="2"/>
          </rPr>
          <t xml:space="preserve"> hvis timeføring i Maconomy skal benyttes.
</t>
        </r>
        <r>
          <rPr>
            <u/>
            <sz val="11"/>
            <color indexed="81"/>
            <rFont val="Tahoma"/>
            <family val="2"/>
          </rPr>
          <t xml:space="preserve">Legg inn beløp </t>
        </r>
        <r>
          <rPr>
            <sz val="11"/>
            <color indexed="81"/>
            <rFont val="Tahoma"/>
            <family val="2"/>
          </rPr>
          <t>ved ompostering av lønn. Budsjettert beløp skal være ekskl. sosiale kostnader. Sosiale og indirekte kostnader beregnes automatisk i Sum.</t>
        </r>
        <r>
          <rPr>
            <sz val="9"/>
            <color indexed="81"/>
            <rFont val="Tahoma"/>
            <family val="2"/>
          </rPr>
          <t xml:space="preserve">
</t>
        </r>
      </text>
    </comment>
    <comment ref="A28" authorId="0" shapeId="0" xr:uid="{00000000-0006-0000-0100-000006000000}">
      <text>
        <r>
          <rPr>
            <b/>
            <sz val="9"/>
            <color indexed="81"/>
            <rFont val="Tahoma"/>
            <family val="2"/>
          </rPr>
          <t>Author:</t>
        </r>
        <r>
          <rPr>
            <sz val="9"/>
            <color indexed="81"/>
            <rFont val="Tahoma"/>
            <family val="2"/>
          </rPr>
          <t xml:space="preserve">
Her kan, om ønskelig, navn angis</t>
        </r>
      </text>
    </comment>
    <comment ref="C41" authorId="0" shapeId="0" xr:uid="{00000000-0006-0000-0100-000007000000}">
      <text>
        <r>
          <rPr>
            <b/>
            <sz val="9"/>
            <color indexed="81"/>
            <rFont val="Tahoma"/>
            <family val="2"/>
          </rPr>
          <t>Author:</t>
        </r>
        <r>
          <rPr>
            <sz val="9"/>
            <color indexed="81"/>
            <rFont val="Tahoma"/>
            <family val="2"/>
          </rPr>
          <t xml:space="preserve">
Malen foreslår automatisk intern husleie. Dersom kurset/undervisningen skal foregå utenfor NTNUs lokaler settes intern husleie til 0</t>
        </r>
      </text>
    </comment>
    <comment ref="A46" authorId="0" shapeId="0" xr:uid="{00000000-0006-0000-0100-000008000000}">
      <text>
        <r>
          <rPr>
            <b/>
            <sz val="9"/>
            <color indexed="81"/>
            <rFont val="Tahoma"/>
            <family val="2"/>
          </rPr>
          <t>Author:</t>
        </r>
        <r>
          <rPr>
            <sz val="9"/>
            <color indexed="81"/>
            <rFont val="Tahoma"/>
            <family val="2"/>
          </rPr>
          <t xml:space="preserve">
Ved bruk av lab eller lignende i undervisningen</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E14" authorId="0" shapeId="0" xr:uid="{00000000-0006-0000-0200-000001000000}">
      <text>
        <r>
          <rPr>
            <b/>
            <sz val="9"/>
            <color indexed="81"/>
            <rFont val="Tahoma"/>
            <family val="2"/>
          </rPr>
          <t>Author:</t>
        </r>
        <r>
          <rPr>
            <sz val="9"/>
            <color indexed="81"/>
            <rFont val="Tahoma"/>
            <family val="2"/>
          </rPr>
          <t xml:space="preserve">
Indirekte kostnader studenter beregnes basert på vekttall/undervisningstimer. Må periodiseres manuelt</t>
        </r>
      </text>
    </comment>
    <comment ref="E22" authorId="0" shapeId="0" xr:uid="{00000000-0006-0000-0200-000002000000}">
      <text>
        <r>
          <rPr>
            <b/>
            <sz val="9"/>
            <color indexed="81"/>
            <rFont val="Tahoma"/>
            <family val="2"/>
          </rPr>
          <t>Author:</t>
        </r>
        <r>
          <rPr>
            <sz val="9"/>
            <color indexed="81"/>
            <rFont val="Tahoma"/>
            <family val="2"/>
          </rPr>
          <t xml:space="preserve">
Studentbetalingen må periodiseres manuelt</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A13" authorId="0" shapeId="0" xr:uid="{00000000-0006-0000-0300-000001000000}">
      <text>
        <r>
          <rPr>
            <b/>
            <sz val="9"/>
            <color indexed="81"/>
            <rFont val="Tahoma"/>
            <family val="2"/>
          </rPr>
          <t>Author:</t>
        </r>
        <r>
          <rPr>
            <sz val="9"/>
            <color indexed="81"/>
            <rFont val="Tahoma"/>
            <family val="2"/>
          </rPr>
          <t xml:space="preserve">
Omfatter timeføring/ompostering av lønn for medarbeidere som er definert som faste i forbindelse med budsjetteringen. Omfatter ikke tilleggslønn/ekstra honorar til fast ansatte.</t>
        </r>
      </text>
    </comment>
    <comment ref="A14" authorId="0" shapeId="0" xr:uid="{00000000-0006-0000-0300-000002000000}">
      <text>
        <r>
          <rPr>
            <b/>
            <sz val="9"/>
            <color indexed="81"/>
            <rFont val="Tahoma"/>
            <family val="2"/>
          </rPr>
          <t>Author:</t>
        </r>
        <r>
          <rPr>
            <sz val="9"/>
            <color indexed="81"/>
            <rFont val="Tahoma"/>
            <family val="2"/>
          </rPr>
          <t xml:space="preserve">
Inkluderer kun prosjektets leiestedsbruk på eget institutt</t>
        </r>
      </text>
    </comment>
    <comment ref="A16" authorId="0" shapeId="0" xr:uid="{00000000-0006-0000-0300-000003000000}">
      <text>
        <r>
          <rPr>
            <b/>
            <sz val="9"/>
            <color indexed="81"/>
            <rFont val="Tahoma"/>
            <family val="2"/>
          </rPr>
          <t>Author:</t>
        </r>
        <r>
          <rPr>
            <sz val="9"/>
            <color indexed="81"/>
            <rFont val="Tahoma"/>
            <family val="2"/>
          </rPr>
          <t xml:space="preserve">
Omfatter både lokal og sentral egenfinansiering</t>
        </r>
      </text>
    </comment>
    <comment ref="A28" authorId="0" shapeId="0" xr:uid="{00000000-0006-0000-0300-000004000000}">
      <text>
        <r>
          <rPr>
            <b/>
            <sz val="9"/>
            <color indexed="81"/>
            <rFont val="Tahoma"/>
            <family val="2"/>
          </rPr>
          <t>Author:</t>
        </r>
        <r>
          <rPr>
            <sz val="9"/>
            <color indexed="81"/>
            <rFont val="Tahoma"/>
            <family val="2"/>
          </rPr>
          <t xml:space="preserve">
Samme kommentar som under BFV - omfatter både sentral og lokal egenfinansiering</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AP2" authorId="0" shapeId="0" xr:uid="{00000000-0006-0000-0400-000001000000}">
      <text>
        <r>
          <rPr>
            <b/>
            <sz val="9"/>
            <color indexed="81"/>
            <rFont val="Tahoma"/>
            <family val="2"/>
          </rPr>
          <t>Author:</t>
        </r>
        <r>
          <rPr>
            <sz val="9"/>
            <color indexed="81"/>
            <rFont val="Tahoma"/>
            <family val="2"/>
          </rPr>
          <t xml:space="preserve">
Prisstigningen pr år er kummulativ</t>
        </r>
      </text>
    </comment>
    <comment ref="AT2" authorId="0" shapeId="0" xr:uid="{00000000-0006-0000-0400-000002000000}">
      <text>
        <r>
          <rPr>
            <b/>
            <sz val="9"/>
            <color indexed="81"/>
            <rFont val="Tahoma"/>
            <family val="2"/>
          </rPr>
          <t>Author:</t>
        </r>
        <r>
          <rPr>
            <sz val="9"/>
            <color indexed="81"/>
            <rFont val="Tahoma"/>
            <family val="2"/>
          </rPr>
          <t xml:space="preserve">
Prisstigningen pr år er kummulativ</t>
        </r>
      </text>
    </comment>
  </commentList>
</comments>
</file>

<file path=xl/sharedStrings.xml><?xml version="1.0" encoding="utf-8"?>
<sst xmlns="http://schemas.openxmlformats.org/spreadsheetml/2006/main" count="826" uniqueCount="473">
  <si>
    <t>Amanuensis</t>
  </si>
  <si>
    <t>Avdelingsdirektør</t>
  </si>
  <si>
    <t>Avdelingsingeniør</t>
  </si>
  <si>
    <t>Avdelingsleder</t>
  </si>
  <si>
    <t>Avdelingssykepleier</t>
  </si>
  <si>
    <t>Bedriftsfysioterapeut</t>
  </si>
  <si>
    <t>Bedriftslege</t>
  </si>
  <si>
    <t>Bedriftssykepleier</t>
  </si>
  <si>
    <t>Bibliotekar</t>
  </si>
  <si>
    <t>Dekan</t>
  </si>
  <si>
    <t>Direktør</t>
  </si>
  <si>
    <t>Dosent</t>
  </si>
  <si>
    <t>Driftsleder</t>
  </si>
  <si>
    <t>Driftsoperatør</t>
  </si>
  <si>
    <t>Driftstekniker</t>
  </si>
  <si>
    <t>Fagarbeider m/fagbrev</t>
  </si>
  <si>
    <t>Forsker</t>
  </si>
  <si>
    <t>Forskningssjef</t>
  </si>
  <si>
    <t>Fullmektig</t>
  </si>
  <si>
    <t>Førsteamanuensis</t>
  </si>
  <si>
    <t>Førsteamanuensis II</t>
  </si>
  <si>
    <t>Førstebibliotekar</t>
  </si>
  <si>
    <t>Førstefullmektig</t>
  </si>
  <si>
    <t>Førstekonsulent</t>
  </si>
  <si>
    <t>Førstelektor</t>
  </si>
  <si>
    <t>Førstesekretær</t>
  </si>
  <si>
    <t>Hjelpearbeider</t>
  </si>
  <si>
    <t>Hovedbibliotekar</t>
  </si>
  <si>
    <t>Høgskolelektor</t>
  </si>
  <si>
    <t>Høgskolelærer/øvingslærer</t>
  </si>
  <si>
    <t>Ingeniør</t>
  </si>
  <si>
    <t>Instituttleder</t>
  </si>
  <si>
    <t>Klinikkveterinær</t>
  </si>
  <si>
    <t>Konsulent</t>
  </si>
  <si>
    <t>Kontorsjef</t>
  </si>
  <si>
    <t>Laboratorieassistent</t>
  </si>
  <si>
    <t>Lærling</t>
  </si>
  <si>
    <t>Lærling (reform  94)</t>
  </si>
  <si>
    <t>Overingeniør</t>
  </si>
  <si>
    <t>Postdoktor</t>
  </si>
  <si>
    <t>Professor</t>
  </si>
  <si>
    <t>Professor II</t>
  </si>
  <si>
    <t>Prorektor</t>
  </si>
  <si>
    <t>Prosjektleder</t>
  </si>
  <si>
    <t>Psykolog med godkjent spesiali</t>
  </si>
  <si>
    <t>Renholder</t>
  </si>
  <si>
    <t>Renholdsleder</t>
  </si>
  <si>
    <t>Rådgiver</t>
  </si>
  <si>
    <t>Sekretær</t>
  </si>
  <si>
    <t>Seksjonssjef</t>
  </si>
  <si>
    <t>Seniorarkitekt</t>
  </si>
  <si>
    <t>Senioringeniør</t>
  </si>
  <si>
    <t>Seniorkonsulent</t>
  </si>
  <si>
    <t>Seniorrådgiver</t>
  </si>
  <si>
    <t>Sjefingeniør</t>
  </si>
  <si>
    <t>Sjåfør</t>
  </si>
  <si>
    <t>Spesialbibliotekar</t>
  </si>
  <si>
    <t>Stipendiat</t>
  </si>
  <si>
    <t>Tekniker</t>
  </si>
  <si>
    <t>Undervisningsleder</t>
  </si>
  <si>
    <t>Unge arbeidstakere</t>
  </si>
  <si>
    <t>Universitetsbibliotekar</t>
  </si>
  <si>
    <t>Universitetslektor</t>
  </si>
  <si>
    <t>Universitetslektor I</t>
  </si>
  <si>
    <t>Vitenskapelig assistent</t>
  </si>
  <si>
    <t>Lønnstrinn</t>
  </si>
  <si>
    <t>B-tabell</t>
  </si>
  <si>
    <t> </t>
  </si>
  <si>
    <t>Årslønn</t>
  </si>
  <si>
    <t>Ltr</t>
  </si>
  <si>
    <r>
      <t>   Bruttolønn</t>
    </r>
    <r>
      <rPr>
        <b/>
        <vertAlign val="superscript"/>
        <sz val="10"/>
        <rFont val="Arial"/>
        <family val="2"/>
      </rPr>
      <t>1) Pr. År</t>
    </r>
  </si>
  <si>
    <r>
      <t xml:space="preserve">       Bruttolønn - OU </t>
    </r>
    <r>
      <rPr>
        <b/>
        <vertAlign val="superscript"/>
        <sz val="10"/>
        <rFont val="Arial"/>
        <family val="2"/>
      </rPr>
      <t>2) Pr år</t>
    </r>
  </si>
  <si>
    <t>   Pr. mnd.</t>
  </si>
  <si>
    <t>Time</t>
  </si>
  <si>
    <t>Dagslønn</t>
  </si>
  <si>
    <t xml:space="preserve">Stilling </t>
  </si>
  <si>
    <t>Tekn./adm.</t>
  </si>
  <si>
    <t>Kategori</t>
  </si>
  <si>
    <t>Direkte</t>
  </si>
  <si>
    <t>Total</t>
  </si>
  <si>
    <t>~ltr</t>
  </si>
  <si>
    <t>Årsverk forskning TDI</t>
  </si>
  <si>
    <t>Vekt forsk.årsverk</t>
  </si>
  <si>
    <t>Ny sats forskning</t>
  </si>
  <si>
    <t>Kostnadsbærer arb.plass</t>
  </si>
  <si>
    <t>Vekt arb.plass</t>
  </si>
  <si>
    <t>Ny arb.plassats</t>
  </si>
  <si>
    <t>NTNU</t>
  </si>
  <si>
    <t>HiST</t>
  </si>
  <si>
    <t>HiG</t>
  </si>
  <si>
    <t>HiÅ</t>
  </si>
  <si>
    <t>Sum</t>
  </si>
  <si>
    <t xml:space="preserve">Pr time: </t>
  </si>
  <si>
    <t>Personressurs</t>
  </si>
  <si>
    <t>Pers.1</t>
  </si>
  <si>
    <t>Pers.2</t>
  </si>
  <si>
    <t>Pers.3</t>
  </si>
  <si>
    <t>Pers.4</t>
  </si>
  <si>
    <t>Pers.5</t>
  </si>
  <si>
    <t>Pers.6</t>
  </si>
  <si>
    <t>Pers.7</t>
  </si>
  <si>
    <t>Pers.8</t>
  </si>
  <si>
    <t>Pers.9</t>
  </si>
  <si>
    <t>Pers.10</t>
  </si>
  <si>
    <t>Årslønn med ferieuttak</t>
  </si>
  <si>
    <t>Sosiale kostnader</t>
  </si>
  <si>
    <t>% sosiale</t>
  </si>
  <si>
    <t>Vitenskapelig</t>
  </si>
  <si>
    <t>Sluttdato</t>
  </si>
  <si>
    <t>Budsjettenhet</t>
  </si>
  <si>
    <t>År</t>
  </si>
  <si>
    <t>Måneder</t>
  </si>
  <si>
    <t>Årsverkssats i kr</t>
  </si>
  <si>
    <t>Indirekte kostnader</t>
  </si>
  <si>
    <t xml:space="preserve">Total </t>
  </si>
  <si>
    <t>Priskategori</t>
  </si>
  <si>
    <t>Tekn./Adm. 7</t>
  </si>
  <si>
    <t>Forsker 7</t>
  </si>
  <si>
    <t>Tekn./Adm. 6</t>
  </si>
  <si>
    <t>Forsker 6</t>
  </si>
  <si>
    <t>Tekn./Adm. 5</t>
  </si>
  <si>
    <t>Forsker 5</t>
  </si>
  <si>
    <t>Tekn./Adm. 4</t>
  </si>
  <si>
    <t>Forsker 4</t>
  </si>
  <si>
    <t>Tekn./Adm. 3</t>
  </si>
  <si>
    <t>Forsker 3</t>
  </si>
  <si>
    <t>Forsker 2</t>
  </si>
  <si>
    <t>Tekn./Adm. 2</t>
  </si>
  <si>
    <t>Tekn./Adm. 1</t>
  </si>
  <si>
    <t>Forsker 1</t>
  </si>
  <si>
    <t>Indirekte</t>
  </si>
  <si>
    <t>Antall timer</t>
  </si>
  <si>
    <t>Direkte kostnad</t>
  </si>
  <si>
    <t xml:space="preserve">Tabell ajour pr: </t>
  </si>
  <si>
    <t xml:space="preserve">Tabell ajour pr </t>
  </si>
  <si>
    <t>Driftskategori</t>
  </si>
  <si>
    <t>Andre driftskostnader</t>
  </si>
  <si>
    <t>Prio</t>
  </si>
  <si>
    <t>Kostnadstype</t>
  </si>
  <si>
    <t>Beskrivelse</t>
  </si>
  <si>
    <t>Sum total</t>
  </si>
  <si>
    <t>Oppsummering driftskostnader</t>
  </si>
  <si>
    <t>Sum Ekstern finansiering</t>
  </si>
  <si>
    <t>Sum kostnader</t>
  </si>
  <si>
    <t>Sum finansiering</t>
  </si>
  <si>
    <t>Kummulativ</t>
  </si>
  <si>
    <t>pr år</t>
  </si>
  <si>
    <t>Prisstigning direktelønn</t>
  </si>
  <si>
    <t>Prisstigning Timelønn</t>
  </si>
  <si>
    <t>Næringsphd</t>
  </si>
  <si>
    <t>Eget leiested</t>
  </si>
  <si>
    <t>Fast ansatt?</t>
  </si>
  <si>
    <t>Ja</t>
  </si>
  <si>
    <t>Nei</t>
  </si>
  <si>
    <t>Totalt</t>
  </si>
  <si>
    <t>Insentivmidler EU</t>
  </si>
  <si>
    <t>Lønnsoverføring til BFV</t>
  </si>
  <si>
    <t>Brutto overføringer til BFV</t>
  </si>
  <si>
    <t>Egenfinansiering fra BFV</t>
  </si>
  <si>
    <t>Netto overføringer til BFV</t>
  </si>
  <si>
    <t>Lønnskostnader grunnlag for indirekte kostnader</t>
  </si>
  <si>
    <t>Alle tall i 1000kr</t>
  </si>
  <si>
    <t>%</t>
  </si>
  <si>
    <t>Tekn./Adm. 7 ikke ferieuttak</t>
  </si>
  <si>
    <t>Tekn./Adm. 6 ikke ferieuttak</t>
  </si>
  <si>
    <t>Tekn./Adm. 5 ikke ferieuttak</t>
  </si>
  <si>
    <t>Tekn./Adm. 4 ikke ferieuttak</t>
  </si>
  <si>
    <t>Tekn./Adm. 3 ikke ferieuttak</t>
  </si>
  <si>
    <t>Tekn./Adm. 2 ikke ferieuttak</t>
  </si>
  <si>
    <t>Tekn./Adm. 1 ikke ferieuttak</t>
  </si>
  <si>
    <t>Forsker 7 ikke ferieuttak</t>
  </si>
  <si>
    <t>Forsker 6 ikke ferieuttak</t>
  </si>
  <si>
    <t>Forsker 5 ikke ferieuttak</t>
  </si>
  <si>
    <t>Forsker 4 ikke ferieuttak</t>
  </si>
  <si>
    <t>Forsker 3 ikke ferieuttak</t>
  </si>
  <si>
    <t>Forsker 2 ikke ferieuttak</t>
  </si>
  <si>
    <t>Forsker 1 ikke ferieuttak</t>
  </si>
  <si>
    <t>19F</t>
  </si>
  <si>
    <t>20F</t>
  </si>
  <si>
    <t>21F</t>
  </si>
  <si>
    <t>22F</t>
  </si>
  <si>
    <t>23F</t>
  </si>
  <si>
    <t>24F</t>
  </si>
  <si>
    <t>25F</t>
  </si>
  <si>
    <t>26F</t>
  </si>
  <si>
    <t>27F</t>
  </si>
  <si>
    <t>28F</t>
  </si>
  <si>
    <t>29F</t>
  </si>
  <si>
    <t>30F</t>
  </si>
  <si>
    <t>31F</t>
  </si>
  <si>
    <t>32F</t>
  </si>
  <si>
    <t>33F</t>
  </si>
  <si>
    <t>34F</t>
  </si>
  <si>
    <t>35F</t>
  </si>
  <si>
    <t>36F</t>
  </si>
  <si>
    <t>37F</t>
  </si>
  <si>
    <t>38F</t>
  </si>
  <si>
    <t>39F</t>
  </si>
  <si>
    <t>40F</t>
  </si>
  <si>
    <t>41F</t>
  </si>
  <si>
    <t>42F</t>
  </si>
  <si>
    <t>43F</t>
  </si>
  <si>
    <t>44F</t>
  </si>
  <si>
    <t>45F</t>
  </si>
  <si>
    <t>46F</t>
  </si>
  <si>
    <t>47F</t>
  </si>
  <si>
    <t>48F</t>
  </si>
  <si>
    <t>49F</t>
  </si>
  <si>
    <t>50F</t>
  </si>
  <si>
    <t>51F</t>
  </si>
  <si>
    <t>52F</t>
  </si>
  <si>
    <t>53F</t>
  </si>
  <si>
    <t>54F</t>
  </si>
  <si>
    <t>55F</t>
  </si>
  <si>
    <t>56F</t>
  </si>
  <si>
    <t>57F</t>
  </si>
  <si>
    <t>58F</t>
  </si>
  <si>
    <t>59F</t>
  </si>
  <si>
    <t>60F</t>
  </si>
  <si>
    <t>61F</t>
  </si>
  <si>
    <t>62F</t>
  </si>
  <si>
    <t>63F</t>
  </si>
  <si>
    <t>64F</t>
  </si>
  <si>
    <t>65F</t>
  </si>
  <si>
    <t>66F</t>
  </si>
  <si>
    <t>67F</t>
  </si>
  <si>
    <t>68F</t>
  </si>
  <si>
    <t>69F</t>
  </si>
  <si>
    <t>70F</t>
  </si>
  <si>
    <t>71F</t>
  </si>
  <si>
    <t>72F</t>
  </si>
  <si>
    <t>73F</t>
  </si>
  <si>
    <t>74F</t>
  </si>
  <si>
    <t>75F</t>
  </si>
  <si>
    <t>76F</t>
  </si>
  <si>
    <t>77F</t>
  </si>
  <si>
    <t>78F</t>
  </si>
  <si>
    <t>79F</t>
  </si>
  <si>
    <t>80F</t>
  </si>
  <si>
    <t>81F</t>
  </si>
  <si>
    <t>82F</t>
  </si>
  <si>
    <t>83F</t>
  </si>
  <si>
    <t>84F</t>
  </si>
  <si>
    <t>85F</t>
  </si>
  <si>
    <t>86F</t>
  </si>
  <si>
    <t>87F</t>
  </si>
  <si>
    <t>88F</t>
  </si>
  <si>
    <t>89F</t>
  </si>
  <si>
    <t>90F</t>
  </si>
  <si>
    <t>91F</t>
  </si>
  <si>
    <t>92F</t>
  </si>
  <si>
    <t>93F</t>
  </si>
  <si>
    <t>94F</t>
  </si>
  <si>
    <t>95F</t>
  </si>
  <si>
    <t>96F</t>
  </si>
  <si>
    <t>97F</t>
  </si>
  <si>
    <t>98F</t>
  </si>
  <si>
    <t>99F</t>
  </si>
  <si>
    <t>100F</t>
  </si>
  <si>
    <t>Oppgave</t>
  </si>
  <si>
    <t>Tekst</t>
  </si>
  <si>
    <t>Linjetype</t>
  </si>
  <si>
    <t>Antall</t>
  </si>
  <si>
    <t>Tid</t>
  </si>
  <si>
    <t>Leiestedsbelastninger</t>
  </si>
  <si>
    <t>Beløp</t>
  </si>
  <si>
    <t>B600</t>
  </si>
  <si>
    <t>Andre driftskostnader - Budsjett</t>
  </si>
  <si>
    <t>Sum Kostpris</t>
  </si>
  <si>
    <t>Automatisk beregnet egenfinansiering</t>
  </si>
  <si>
    <t>Forslag, budsjett til Maconomy</t>
  </si>
  <si>
    <t>Sats indirekte kostnader</t>
  </si>
  <si>
    <t>ltr</t>
  </si>
  <si>
    <t>18F</t>
  </si>
  <si>
    <t>Kostpris pr enhet, basis</t>
  </si>
  <si>
    <t>Kostpris total</t>
  </si>
  <si>
    <t>Lønn - inkl. faste tillegg</t>
  </si>
  <si>
    <t>101F</t>
  </si>
  <si>
    <t>Direkte personalkostnader - rammelønnede</t>
  </si>
  <si>
    <t>Direkte personalkostnader - prosjektlønnede</t>
  </si>
  <si>
    <t>Indirekte personalkostnader</t>
  </si>
  <si>
    <t>Timepris År 1</t>
  </si>
  <si>
    <t>Vektet timepris år 1</t>
  </si>
  <si>
    <t>Dette er kostpris år1</t>
  </si>
  <si>
    <t>Avvik mellom timekostnad indeksregulert og år 1 er justert her</t>
  </si>
  <si>
    <t>Indir. Kostn. Timer K</t>
  </si>
  <si>
    <t>Indir. Kostn. Timer D</t>
  </si>
  <si>
    <t>B914</t>
  </si>
  <si>
    <t>B913</t>
  </si>
  <si>
    <t>IK - justert</t>
  </si>
  <si>
    <t>Budsjett godkjent</t>
  </si>
  <si>
    <t>Dato</t>
  </si>
  <si>
    <t>Signatur inst.leder</t>
  </si>
  <si>
    <t>Indirekte kostnader pr. studiepoeng</t>
  </si>
  <si>
    <t xml:space="preserve">Sats gjeldende for  </t>
  </si>
  <si>
    <t>Type aktivitet</t>
  </si>
  <si>
    <t>Kurstype</t>
  </si>
  <si>
    <t>Etterutdanning</t>
  </si>
  <si>
    <t>Videreutdanning</t>
  </si>
  <si>
    <t>KDs Fin.kat.</t>
  </si>
  <si>
    <t>A</t>
  </si>
  <si>
    <t>B</t>
  </si>
  <si>
    <t>C</t>
  </si>
  <si>
    <t>D</t>
  </si>
  <si>
    <t>E</t>
  </si>
  <si>
    <t>F</t>
  </si>
  <si>
    <t>KDs finansieringskategori</t>
  </si>
  <si>
    <t xml:space="preserve">Sum indirekte kostnader </t>
  </si>
  <si>
    <t>Totalkost</t>
  </si>
  <si>
    <t>Avtalt honorar
(ex. Sos. Kostn.)</t>
  </si>
  <si>
    <t>Stillingsbetegn.</t>
  </si>
  <si>
    <t>Forventet antall studenter</t>
  </si>
  <si>
    <t xml:space="preserve">Oppsummering lønn og honorarer: </t>
  </si>
  <si>
    <t>Indirekte kostnader studenter (periodiseres man.)</t>
  </si>
  <si>
    <t>Honorar - m/faktura</t>
  </si>
  <si>
    <t>Leie lokaler - eksternt</t>
  </si>
  <si>
    <t>Servering</t>
  </si>
  <si>
    <t>Kursmateriell/bøker</t>
  </si>
  <si>
    <t>Prosjektstart (normalt dagens dato)</t>
  </si>
  <si>
    <t>Egenbetaling fra student (pris)</t>
  </si>
  <si>
    <t>Type tilbud (etter- eller videreutd.)</t>
  </si>
  <si>
    <t>Arbeid som betales/honoreres særskilt via lønnssystemet (unntatt faktura fra selvstendig næringsdrivende)</t>
  </si>
  <si>
    <t>TOTAL</t>
  </si>
  <si>
    <t>Studiepoeng</t>
  </si>
  <si>
    <t>Andre kostnader</t>
  </si>
  <si>
    <t>Bevertning</t>
  </si>
  <si>
    <t>B912</t>
  </si>
  <si>
    <t>Total finansiering</t>
  </si>
  <si>
    <t>Dekning indirekte kostnader fra EVU</t>
  </si>
  <si>
    <t>Lønnsoverføring fra EVU</t>
  </si>
  <si>
    <t>Leiestedsinntekt (på eget institutt) fra EVU</t>
  </si>
  <si>
    <t>Egenfinansiering EVU</t>
  </si>
  <si>
    <t>Avslutning ikke-økonomisk aktivitet</t>
  </si>
  <si>
    <t>Netto overføringer fra EVU</t>
  </si>
  <si>
    <t>Indirekte kostnader personal</t>
  </si>
  <si>
    <t>Indirekte kostnader studiepoeng</t>
  </si>
  <si>
    <t>Sum kostn.</t>
  </si>
  <si>
    <t>Sum dir. timekostnad</t>
  </si>
  <si>
    <t>Sum Ompostert lønn - inkl. sos. Kostn</t>
  </si>
  <si>
    <t>Sum honorar (inkl. sos. Utg.) eksterne</t>
  </si>
  <si>
    <t>Reisekostnader</t>
  </si>
  <si>
    <t>B710</t>
  </si>
  <si>
    <t>Undervisning</t>
  </si>
  <si>
    <t>B501</t>
  </si>
  <si>
    <t>Lønn og sos. Kostnader (unntatt tilleggslønn)</t>
  </si>
  <si>
    <t>B502</t>
  </si>
  <si>
    <t>Tilleggslønn egne ansatte</t>
  </si>
  <si>
    <t>Kursnavn</t>
  </si>
  <si>
    <t>Hovedansvarlig:</t>
  </si>
  <si>
    <t>Oppsummering budsjett for kurs:</t>
  </si>
  <si>
    <t>Type:</t>
  </si>
  <si>
    <t>Økonomisk/ikke økonomisk aktivitet</t>
  </si>
  <si>
    <t>Egenbetaling pr. student</t>
  </si>
  <si>
    <t>Unntak i egenbetalingsforskriften</t>
  </si>
  <si>
    <t>NTNU-ansatt/
Ekstern</t>
  </si>
  <si>
    <t>Tilleggslønn (inkl. sos. Utg.) NTNU-ansatte</t>
  </si>
  <si>
    <t xml:space="preserve">Lønn EVU - Honorar eksterne </t>
  </si>
  <si>
    <t>Brutto overføringer fra EVU</t>
  </si>
  <si>
    <t>Settes til 0 hvis utenfor NTNU</t>
  </si>
  <si>
    <t>Sentral NTNU-finansiering eller lign.</t>
  </si>
  <si>
    <t>Unntak i egenbetalingsforkriften</t>
  </si>
  <si>
    <t>Leiestedskostnader (eget sted)</t>
  </si>
  <si>
    <t>Studentbetaling (periodiseres manuelt)</t>
  </si>
  <si>
    <t>Forslag periodisering av budsjett Maconomy</t>
  </si>
  <si>
    <t>Tilleggslønn - rammelønnede</t>
  </si>
  <si>
    <t>Lønn EVU - honorar eksterne</t>
  </si>
  <si>
    <t>Indirekte kostnader (pers. og student)</t>
  </si>
  <si>
    <t>Lønn og sos.kostnader - fra ramma</t>
  </si>
  <si>
    <t>Antall undervisningstimer</t>
  </si>
  <si>
    <t>Arealkostnad pr. år (kr./kvm)</t>
  </si>
  <si>
    <t>Arealkostnad pr. time (kr./kvm)</t>
  </si>
  <si>
    <t>Antall undervisningstimer pr. studiepoeng</t>
  </si>
  <si>
    <t>Indirekte kostnader pr. undervisn.time (etterutd.)</t>
  </si>
  <si>
    <t>Husleie pr. 60 SPE ihht. TDI-modellen</t>
  </si>
  <si>
    <t>Valgt å ikke bruke denne - i stedet husleie ihht. generell arealbruk</t>
  </si>
  <si>
    <t>Økonomisk/ikke-økonomisk aktivitet?</t>
  </si>
  <si>
    <t>Leiested - undervisningsrom NTNU</t>
  </si>
  <si>
    <t xml:space="preserve">Eget leiested </t>
  </si>
  <si>
    <t>Leie lokaler - eksternt (inkl. dagpakke)</t>
  </si>
  <si>
    <t>For hjelp med malen, eller rapportering av feil, send mail til:</t>
  </si>
  <si>
    <t>kontakt@okavd.ntnu.no</t>
  </si>
  <si>
    <t>Om innlegging av data</t>
  </si>
  <si>
    <t xml:space="preserve">For budsjettering av driftskostnader på prosjektet </t>
  </si>
  <si>
    <t xml:space="preserve">Kolonne B: Fritekstfelt for beskrivelse av kostnaden </t>
  </si>
  <si>
    <t xml:space="preserve">Kolonne C+: Her legger man inn faktisk kostnad pr år </t>
  </si>
  <si>
    <t>Versjonslogg</t>
  </si>
  <si>
    <t>Regnskapsseksjonen fører logg over alle endringer.</t>
  </si>
  <si>
    <t>Budsjettmal for EVU</t>
  </si>
  <si>
    <t>Det aller meste av inputen skal legges inn i fanen "1.Budsjettinput".</t>
  </si>
  <si>
    <t>"2. Oppsummering Budsjett" og "Samspill EVU-BFV" er såkalte outputfaner, som viser resultatet av hva man har lagt inn i fane 1. Det er likevel noen inputvalg også her.</t>
  </si>
  <si>
    <t>Gjennomgående logikk i arket er at lysegule celler er inputceller, mens hvite celler er låst for redigering pga formelbruk.</t>
  </si>
  <si>
    <t>Som det fremkommer er det en del info som må registreres, men av fast informasjon (rad 1 - 10) bør alle gule felter fylles ut.</t>
  </si>
  <si>
    <t>Arbeid uten særskilt honorering (område A12:N23)</t>
  </si>
  <si>
    <t>Arbeid som betales/honoreres særskilt via lønnssystemet (område A26:I36)</t>
  </si>
  <si>
    <t>Andre driftskostnader (område A39:H73)</t>
  </si>
  <si>
    <t>Kolonne A: Fritekstfelt for beskrivelse av ressursen (navn e.l.)</t>
  </si>
  <si>
    <t>Kolonne B: En nedtrekksliste bestemmer stillingskategori, denne må man bruke. Stillingsbetegnelsene gir forslag til lønnstrinn som oversettes til medarbeiderkategorier (Forsker 1 osv) av modellen. Medarbeiderkategorien er essensiell ved timeføring</t>
  </si>
  <si>
    <t xml:space="preserve">Kolonne D: Angivelse av lønnsintervall for kategorien (Forsker 1 osv) som angis i kolonne E. </t>
  </si>
  <si>
    <t>Alle celler som skal/kan fylles ut er markert med gult.</t>
  </si>
  <si>
    <t>I dette området skal man budsjettere arbeidsinnsats på prosjektet som ikke honoreres særskilt - dvs. den tid/arbeidsinnsats som benyttes innenfor ordinær arbeidsavtale</t>
  </si>
  <si>
    <t>Kolonne C: Her må velge om arbeidet skal belastes via timeføring eller om det er planlagt å ompostere lønn fra ramma</t>
  </si>
  <si>
    <t xml:space="preserve">Kolonne E: Dersom timeføring skal benyttes, foreslås det en en kategori (Forsker 1 osv) basert på valget i kolonne B. Det er mulig å overstyre dette dersom lønnsintervallet for kategorien (som angitt i kolonne D) ikke samsvarer med reell lønn for den ansatte. </t>
  </si>
  <si>
    <t>Kolonne F: Kun aktuell ved timeføring, og er en ren informasjon om hva direkte timekostnad er</t>
  </si>
  <si>
    <t>Kolonne G, I og K: Her legger man inn enten antall timer eller hvilket beløp som vil bli ompostert fra ramma og inn på prosjektet. Dersom det er ompostering skal beløp angis ex. Sosiale kostnader, disse blir beregnet i modellen. Det samme blir indirekte kostnader</t>
  </si>
  <si>
    <t xml:space="preserve">Kolonne H, J og L: Dette er resultatkolonner som viser hva budsjettert kostnad - inkludert sosiale kostnader og indirekte kostnader - vil være. </t>
  </si>
  <si>
    <r>
      <t xml:space="preserve">I dette området skal man budsjettere honorarer, enten til egne ansatte eller eksterne, som vil bli utbetalt via lønnssystemet. </t>
    </r>
    <r>
      <rPr>
        <b/>
        <sz val="11"/>
        <color theme="1"/>
        <rFont val="Calibri"/>
        <family val="2"/>
        <scheme val="minor"/>
      </rPr>
      <t>Honorarer til selvstendig næringsdrivende som sender faktura skal ikke budsjetteres her.</t>
    </r>
  </si>
  <si>
    <t>Kolonne B: Her angir man om det er honorar (tilleggslønn) til en NTNU-ansatt, eller om det er honorar til en ekstern.</t>
  </si>
  <si>
    <t xml:space="preserve">Kolonne C, E og G: Her legger man inn avtalt honorar. Sosiale kostnader og indirekte kostnader blir så beregnet i modellen. </t>
  </si>
  <si>
    <t xml:space="preserve">Kolonne D, F og H: Dette er resultatkolonner som viser hva budsjettert kostnad - inkludert sosiale kostnader og indirekte kostnader - vil være. </t>
  </si>
  <si>
    <t>Modellen benytter ingen faktor/oppjustering av undervisningstimer for å finne totalt timeantall inkludert forberedelser, sensur etc. Totalt timeantall må derfor registreres i budsjettet</t>
  </si>
  <si>
    <r>
      <t xml:space="preserve">Kolonne A: Nedtrekksliste for type driftskostnad. </t>
    </r>
    <r>
      <rPr>
        <b/>
        <sz val="11"/>
        <color theme="1"/>
        <rFont val="Calibri"/>
        <family val="2"/>
        <scheme val="minor"/>
      </rPr>
      <t>Denne må benyttes, fordi alle kostnader må kategoriseres inn i en gyldig kostnadstype</t>
    </r>
  </si>
  <si>
    <t>Merk II: Modellen beregner automatisk en intern husleie (celle H41). Dersom det også budsjetteres eksterne lokaler vil modellen stille spørsmål ved om det skal være både intern og ekstern husleie.</t>
  </si>
  <si>
    <t>2. Oppsummering budsjett</t>
  </si>
  <si>
    <t>3. Samspill EVU - BFV</t>
  </si>
  <si>
    <t>Arket oppsummerer budsjettet. Det aller meste følger av den input som har vært gjort på fane "1.Budsjettinput"</t>
  </si>
  <si>
    <t xml:space="preserve">Merk: Basert på antall studenter og vekttall/undervisningstimer beregnes det en totale indirekte kostnader studenter i modellen (i celle E14). Denne må manuelt periodiseres. </t>
  </si>
  <si>
    <t>Merk II: Studentbetalingen må periodiseres manuelt. Total studentbetaling beregnes automatisk basert på input i "1.Budsjettinput" (celle E22).</t>
  </si>
  <si>
    <t>I kolonne H - M gis det et forslag til hvordan budsjettet kan registreres, og periodiseres, i Maconomy.</t>
  </si>
  <si>
    <t>RD</t>
  </si>
  <si>
    <t>EVU-BFV Maconomy</t>
  </si>
  <si>
    <t>Arket gir en oppsummering av kursets effekt på enhetens Ramme Drift (samspillet mellom rammen "EVU-BFV Maconomy og RD")</t>
  </si>
  <si>
    <t>Alle tall vises i 1000kr</t>
  </si>
  <si>
    <t>21.1.2019: Versjon 1.0 publiseres på Innsida, og kan startes utprøvd.</t>
  </si>
  <si>
    <t>Denne malen skal brukes i budsjettering av et EVU tilbud. Hent alltid siste versjon av malen ved budsjettering av et nytt prosjekt.</t>
  </si>
  <si>
    <t>Malen bruker gjennomgående grupperte rader for å holde det oversiktlig. For å få tilgang til flere linjer kan man hente de frem ved å trykke på +tegnet på de respektive fanene</t>
  </si>
  <si>
    <t>1.Budsjettinfo</t>
  </si>
  <si>
    <t>Her registreres både viktig informasjon om kurstilbudet, og det meste av budsjettet.</t>
  </si>
  <si>
    <t>Informasjon om kurstilbudet (område A1:K9)</t>
  </si>
  <si>
    <r>
      <rPr>
        <b/>
        <sz val="16"/>
        <color rgb="FFFF0000"/>
        <rFont val="Calibri"/>
        <family val="2"/>
        <scheme val="minor"/>
      </rPr>
      <t>HUSK</t>
    </r>
    <r>
      <rPr>
        <sz val="16"/>
        <color theme="1"/>
        <rFont val="Calibri"/>
        <family val="2"/>
        <scheme val="minor"/>
      </rPr>
      <t xml:space="preserve"> å inkludere all tid; både forberedelser,
undervisning, sensur og annet i budsjettet - 
spesielt viktig ved timeføring/-budsjettering</t>
    </r>
  </si>
  <si>
    <t>Celle G6: Dersom modellen benyttes for et videreutdanningstilbud skal studenters egenbetaling beregnes i det simuleringsverktøy (Beregningsmodell EVU) som er utarbeidet for det formålet.</t>
  </si>
  <si>
    <t>21.1.2019: Versjon 1.01 publiseres. Var en feil (ingen tall) i fane 3. Samspill EVU - RD i versjon 1.0. Dessuten er det lagt inn en betinget formattering av tekst dersom Økonomisk aktivitet budsjetteres med regnskapsmessig underskudd</t>
  </si>
  <si>
    <t xml:space="preserve">Forventet resultat øk. Aktivitet 
(- er overskudd/+ er underskudd) </t>
  </si>
  <si>
    <t>Indirekte kostnader student</t>
  </si>
  <si>
    <t>Indir. Kostn. - personal</t>
  </si>
  <si>
    <t>Dersom tilbudet er Økonomisk aktivitet skal prosjektet avsluttes mot virksomhetskapitalen. Et over-/underskudd på slike tilbud inngår derfor ikke i samspillet, men presenteres særskilt på linje 20</t>
  </si>
  <si>
    <t>Merk: Basert på antall studenter og vekttall/undervisningstimer beregnes det en total intern husleie i modellen (i celle H41). Denne må manuelt periodiseres.
Enhetene har også selv ansvar for å bokføre denne</t>
  </si>
  <si>
    <t>B504</t>
  </si>
  <si>
    <t>04.03.19: Versjon 1.1 publiseres. Resultat på økonomisk aktivitet tas ut fra samspill EVU-RD, men vises særskilt på linje 20 i fane "3. Samspill EVU-RD". Budsjettforslag til Maconomy er litt mer detaljert</t>
  </si>
  <si>
    <t>13.3.19: Versjon 1.2 publiseres. En feil i formlene på fane 1. Budsjettinput, i cellene S13 og T13.</t>
  </si>
  <si>
    <r>
      <t xml:space="preserve">06.08.19: Versjon 1.3 publiseres. Forrige versjon ga en feil dersom det ble budsjettert ompostering av lønn (i stedet for timeføring). Modellen </t>
    </r>
    <r>
      <rPr>
        <u/>
        <sz val="11"/>
        <color theme="1"/>
        <rFont val="Calibri"/>
        <family val="2"/>
        <scheme val="minor"/>
      </rPr>
      <t>vil fortsatt gi feil dersom</t>
    </r>
    <r>
      <rPr>
        <sz val="11"/>
        <color theme="1"/>
        <rFont val="Calibri"/>
        <family val="2"/>
        <scheme val="minor"/>
      </rPr>
      <t xml:space="preserve"> det opprettes en budsjettlinje med valget "timeføring" i kolonne B på fane "1.Budsjettinput" OG det ikke registreres antall budsjetterte timer</t>
    </r>
  </si>
  <si>
    <t>16.10.19: Versjon 1.4 publiseres. Forrige versjon ga feil dersom det kun var budsjettert ompostering (og ikke timeføring) for fast ansatte.</t>
  </si>
  <si>
    <t>Satser NFR (2024+ er anslag)</t>
  </si>
  <si>
    <t>17.12.19: Versjon 2.0 publiseres. Oppdatert med timepriser for 2020</t>
  </si>
  <si>
    <t>Om indirekte kostnader</t>
  </si>
  <si>
    <t xml:space="preserve">Indirekte kostnader er kostnader til sentrale fellestjenester (bibliotek, IT, fellesadministrasjon, drift) samt kontorplass, ledelse og administrasjon på fakultet og institutt. </t>
  </si>
  <si>
    <t>I etter- og videreutdanningsprosjekter skal totale kostnader beregnes, dvs. både direkte og indirekte kostnader. Det er to satser/påslag som benyttes:</t>
  </si>
  <si>
    <r>
      <rPr>
        <b/>
        <sz val="11"/>
        <color theme="1"/>
        <rFont val="Calibri"/>
        <family val="2"/>
        <scheme val="minor"/>
      </rPr>
      <t>Indirekte kostnader knyttet til vitenskapelig ansattes arbeidsinnsats (tidsbruk) i prosjektet:</t>
    </r>
    <r>
      <rPr>
        <sz val="11"/>
        <color theme="1"/>
        <rFont val="Calibri"/>
        <family val="2"/>
        <scheme val="minor"/>
      </rPr>
      <t xml:space="preserve"> Kontorplass, IT/telefon, adm. fellestjenester (HR og lønnstjeneste), </t>
    </r>
  </si>
  <si>
    <t>universitetsbiblioteket, administrasjon/studieadm. på fak./inst.</t>
  </si>
  <si>
    <r>
      <rPr>
        <b/>
        <sz val="11"/>
        <color theme="1"/>
        <rFont val="Calibri"/>
        <family val="2"/>
        <scheme val="minor"/>
      </rPr>
      <t>Indirekte kostnader knyttet til studenter:</t>
    </r>
    <r>
      <rPr>
        <sz val="11"/>
        <color theme="1"/>
        <rFont val="Calibri"/>
        <family val="2"/>
        <scheme val="minor"/>
      </rPr>
      <t xml:space="preserve"> De indirekte kostnadene omfatter fellestjenester som universitetsbibliotek, IT-avdelingen samt øvrig sentraladministrasjon (bl.a studieavd.).</t>
    </r>
  </si>
  <si>
    <t>Les mer om totalkostmodell for EVU på Universitets og høgskolerådets nettside:</t>
  </si>
  <si>
    <t>https://www.uhr.no/temasider/totalkostnadsmodell-tdi/</t>
  </si>
  <si>
    <t>Indirekte kostnader beregnes med grunnlag i vekttall for videreutdanning, og undervisningstimer for etterutdanning.</t>
  </si>
  <si>
    <t>Øk. aktivitet</t>
  </si>
  <si>
    <t>Ikke-øk. akt</t>
  </si>
  <si>
    <t xml:space="preserve">Arbeid uten særskilt honorering (Timeføring Maconomy/ompostering med art 9023) </t>
  </si>
  <si>
    <t>Timeføring/
ompostering</t>
  </si>
  <si>
    <t>Antall timer/
Beløp</t>
  </si>
  <si>
    <t xml:space="preserve"> For etterutdanning skal en andel av de indirekte kostnadene gå til Seksjon for etter- og videreutdanning</t>
  </si>
  <si>
    <t xml:space="preserve">  for administrasjon av deltakere/studenter. NTNU Videre sørger for intern handel for sin andel.</t>
  </si>
  <si>
    <t>Samme kostnad som publiseres på Innsida ifm. Leiestedsprisberegning</t>
  </si>
  <si>
    <t>08.12.20:Versjon 3.0 publiseres. Oppdatert med timepriser, arealkostnad og indirekte kostnader studenter for 2020. IK ansatte holdes uendret med 40%</t>
  </si>
  <si>
    <t>&lt; 479'</t>
  </si>
  <si>
    <t>479'-547'</t>
  </si>
  <si>
    <t>547'-617'</t>
  </si>
  <si>
    <t>617'-700'</t>
  </si>
  <si>
    <t>700'-826'</t>
  </si>
  <si>
    <t>826'-1.094'</t>
  </si>
  <si>
    <t>&gt;1.094'</t>
  </si>
  <si>
    <t>Lønnstabell pr 1. oktober 2022 - YS/UNIO/LO</t>
  </si>
  <si>
    <t>22.11.21:Versjon 4.0 publiseres. Oppdatert med timepriser og arealkostnad for 2021. IK ansatte holdes uendret med 40%, og IK studenter er uendret fra 2021 (585 pr. studiepoeng eller 117 pr. undervisningstime)</t>
  </si>
  <si>
    <t>Totalt (direkte og indir)</t>
  </si>
  <si>
    <t>15.12.21:Versjon 4.01 publiseres. Korrigert sosiale kostnader ved direktelønnsbelastning, som en konsekvens av at pensjonssatsen for 2022 er lavere enn tidligere kjent (8,7% i stedet for 10,7%)</t>
  </si>
  <si>
    <t>17.02.22:Versjon 4.02 publiseres. Datavalideringen av sluttdato på fane "1.Budsjettinput" er oppdatert, slik at det er mulig å budsjettere i inntil 3 år.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</si>
</sst>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64" formatCode="_ * #,##0_ ;_ * \-#,##0_ ;_ * &quot;-&quot;_ ;_ @_ "/>
    <numFmt numFmtId="165" formatCode="_ * #,##0.00_ ;_ * \-#,##0.00_ ;_ * &quot;-&quot;??_ ;_ @_ "/>
    <numFmt numFmtId="166" formatCode="_ * #,##0_ ;_ * \-#,##0_ ;_ * &quot;-&quot;??_ ;_ @_ "/>
    <numFmt numFmtId="167" formatCode="0_ ;\-0\ "/>
    <numFmt numFmtId="168" formatCode="#,##0.0_ ;\-#,##0.0\ "/>
    <numFmt numFmtId="169" formatCode="_ * #,##0.000_ ;_ * \-#,##0.000_ ;_ * &quot;-&quot;??_ ;_ @_ "/>
    <numFmt numFmtId="170" formatCode="0.000"/>
    <numFmt numFmtId="171" formatCode="_ &quot;kr&quot;\ * #,##0.00_ ;_ &quot;kr&quot;\ * \-#,##0.00_ ;_ &quot;kr&quot;\ * &quot;-&quot;??_ ;_ @_ "/>
    <numFmt numFmtId="172" formatCode="#,##0_ ;\-#,##0\ "/>
  </numFmts>
  <fonts count="50" x14ac:knownFonts="1">
    <font>
      <sz val="11"/>
      <color theme="1"/>
      <name val="Calibri"/>
      <family val="2"/>
      <scheme val="minor"/>
    </font>
    <font>
      <sz val="11"/>
      <color theme="1"/>
      <name val="Calibri"/>
      <family val="2"/>
      <scheme val="minor"/>
    </font>
    <font>
      <b/>
      <sz val="11"/>
      <color theme="1"/>
      <name val="Calibri"/>
      <family val="2"/>
      <scheme val="minor"/>
    </font>
    <font>
      <b/>
      <sz val="10"/>
      <name val="Arial"/>
      <family val="2"/>
    </font>
    <font>
      <sz val="12"/>
      <name val="Times New Roman"/>
      <family val="1"/>
    </font>
    <font>
      <b/>
      <vertAlign val="superscript"/>
      <sz val="10"/>
      <name val="Arial"/>
      <family val="2"/>
    </font>
    <font>
      <sz val="8"/>
      <name val="Arial"/>
      <family val="2"/>
    </font>
    <font>
      <sz val="11"/>
      <color indexed="8"/>
      <name val="Calibri"/>
      <family val="2"/>
    </font>
    <font>
      <sz val="8"/>
      <color indexed="8"/>
      <name val="Arial"/>
      <family val="2"/>
    </font>
    <font>
      <sz val="9"/>
      <name val="Arial"/>
      <family val="2"/>
    </font>
    <font>
      <b/>
      <sz val="10"/>
      <color theme="1"/>
      <name val="Arial"/>
      <family val="2"/>
    </font>
    <font>
      <b/>
      <sz val="12"/>
      <color theme="1"/>
      <name val="Calibri"/>
      <family val="2"/>
      <scheme val="minor"/>
    </font>
    <font>
      <b/>
      <sz val="14"/>
      <color theme="1"/>
      <name val="Calibri"/>
      <family val="2"/>
      <scheme val="minor"/>
    </font>
    <font>
      <b/>
      <sz val="18"/>
      <color theme="1"/>
      <name val="Calibri"/>
      <family val="2"/>
      <scheme val="minor"/>
    </font>
    <font>
      <b/>
      <sz val="16"/>
      <name val="Times New Roman"/>
      <family val="1"/>
    </font>
    <font>
      <sz val="10"/>
      <name val="Arial"/>
      <family val="2"/>
    </font>
    <font>
      <sz val="16"/>
      <color theme="1"/>
      <name val="Calibri"/>
      <family val="2"/>
      <scheme val="minor"/>
    </font>
    <font>
      <sz val="18"/>
      <color theme="1"/>
      <name val="Calibri"/>
      <family val="2"/>
      <scheme val="minor"/>
    </font>
    <font>
      <sz val="9"/>
      <color indexed="81"/>
      <name val="Tahoma"/>
      <family val="2"/>
    </font>
    <font>
      <b/>
      <sz val="9"/>
      <color indexed="81"/>
      <name val="Tahoma"/>
      <family val="2"/>
    </font>
    <font>
      <b/>
      <sz val="16"/>
      <color theme="1"/>
      <name val="Calibri"/>
      <family val="2"/>
      <scheme val="minor"/>
    </font>
    <font>
      <b/>
      <sz val="10"/>
      <color theme="0" tint="-0.499984740745262"/>
      <name val="Arial"/>
      <family val="2"/>
    </font>
    <font>
      <sz val="11"/>
      <color theme="0" tint="-0.499984740745262"/>
      <name val="Calibri"/>
      <family val="2"/>
      <scheme val="minor"/>
    </font>
    <font>
      <b/>
      <sz val="11"/>
      <color theme="0" tint="-0.499984740745262"/>
      <name val="Calibri"/>
      <family val="2"/>
      <scheme val="minor"/>
    </font>
    <font>
      <i/>
      <sz val="10"/>
      <name val="Arial"/>
      <family val="2"/>
    </font>
    <font>
      <b/>
      <sz val="11"/>
      <color rgb="FFFF0000"/>
      <name val="Calibri"/>
      <family val="2"/>
      <scheme val="minor"/>
    </font>
    <font>
      <sz val="8"/>
      <color theme="0" tint="-0.34998626667073579"/>
      <name val="Arial"/>
      <family val="2"/>
    </font>
    <font>
      <sz val="9"/>
      <color theme="0" tint="-0.34998626667073579"/>
      <name val="Arial"/>
      <family val="2"/>
    </font>
    <font>
      <sz val="11"/>
      <color theme="0" tint="-0.34998626667073579"/>
      <name val="Calibri"/>
      <family val="2"/>
      <scheme val="minor"/>
    </font>
    <font>
      <sz val="10"/>
      <name val="Calibri"/>
      <family val="2"/>
    </font>
    <font>
      <sz val="10"/>
      <color theme="0" tint="-0.249977111117893"/>
      <name val="Calibri"/>
      <family val="2"/>
    </font>
    <font>
      <sz val="11"/>
      <color theme="0" tint="-0.14999847407452621"/>
      <name val="Calibri"/>
      <family val="2"/>
      <scheme val="minor"/>
    </font>
    <font>
      <b/>
      <sz val="11"/>
      <color theme="0" tint="-0.14999847407452621"/>
      <name val="Calibri"/>
      <family val="2"/>
      <scheme val="minor"/>
    </font>
    <font>
      <sz val="14"/>
      <color rgb="FFFF0000"/>
      <name val="Calibri"/>
      <family val="2"/>
      <scheme val="minor"/>
    </font>
    <font>
      <sz val="11"/>
      <color theme="0" tint="-4.9989318521683403E-2"/>
      <name val="Calibri"/>
      <family val="2"/>
      <scheme val="minor"/>
    </font>
    <font>
      <i/>
      <sz val="11"/>
      <color theme="1"/>
      <name val="Calibri"/>
      <family val="2"/>
      <scheme val="minor"/>
    </font>
    <font>
      <sz val="11"/>
      <color theme="0" tint="-0.249977111117893"/>
      <name val="Calibri"/>
      <family val="2"/>
      <scheme val="minor"/>
    </font>
    <font>
      <b/>
      <sz val="14"/>
      <color rgb="FFFF0000"/>
      <name val="Calibri"/>
      <family val="2"/>
      <scheme val="minor"/>
    </font>
    <font>
      <b/>
      <sz val="12"/>
      <color rgb="FFFF0000"/>
      <name val="Calibri"/>
      <family val="2"/>
      <scheme val="minor"/>
    </font>
    <font>
      <b/>
      <sz val="8"/>
      <color theme="1"/>
      <name val="Calibri"/>
      <family val="2"/>
      <scheme val="minor"/>
    </font>
    <font>
      <sz val="11"/>
      <color rgb="FFFF0000"/>
      <name val="Calibri"/>
      <family val="2"/>
      <scheme val="minor"/>
    </font>
    <font>
      <sz val="11"/>
      <color theme="0"/>
      <name val="Calibri"/>
      <family val="2"/>
      <scheme val="minor"/>
    </font>
    <font>
      <b/>
      <sz val="11"/>
      <name val="Calibri"/>
      <family val="2"/>
      <scheme val="minor"/>
    </font>
    <font>
      <u/>
      <sz val="11"/>
      <color theme="10"/>
      <name val="Calibri"/>
      <family val="2"/>
      <scheme val="minor"/>
    </font>
    <font>
      <sz val="12"/>
      <color theme="1"/>
      <name val="Calibri"/>
      <family val="2"/>
      <scheme val="minor"/>
    </font>
    <font>
      <b/>
      <sz val="16"/>
      <color rgb="FFFF0000"/>
      <name val="Calibri"/>
      <family val="2"/>
      <scheme val="minor"/>
    </font>
    <font>
      <u/>
      <sz val="11"/>
      <color theme="1"/>
      <name val="Calibri"/>
      <family val="2"/>
      <scheme val="minor"/>
    </font>
    <font>
      <sz val="11"/>
      <color indexed="81"/>
      <name val="Tahoma"/>
      <family val="2"/>
    </font>
    <font>
      <u/>
      <sz val="11"/>
      <color indexed="81"/>
      <name val="Tahoma"/>
      <family val="2"/>
    </font>
    <font>
      <sz val="11"/>
      <color rgb="FF0070C0"/>
      <name val="Calibri"/>
      <family val="2"/>
      <scheme val="minor"/>
    </font>
  </fonts>
  <fills count="13">
    <fill>
      <patternFill patternType="none"/>
    </fill>
    <fill>
      <patternFill patternType="gray125"/>
    </fill>
    <fill>
      <patternFill patternType="solid">
        <fgColor theme="0" tint="-4.9989318521683403E-2"/>
        <bgColor indexed="64"/>
      </patternFill>
    </fill>
    <fill>
      <patternFill patternType="solid">
        <fgColor indexed="26"/>
        <bgColor indexed="64"/>
      </patternFill>
    </fill>
    <fill>
      <patternFill patternType="solid">
        <fgColor theme="4" tint="0.79998168889431442"/>
        <bgColor theme="4" tint="0.79998168889431442"/>
      </patternFill>
    </fill>
    <fill>
      <patternFill patternType="solid">
        <fgColor rgb="FFFFFF00"/>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theme="0"/>
        <bgColor indexed="64"/>
      </patternFill>
    </fill>
    <fill>
      <patternFill patternType="solid">
        <fgColor theme="6" tint="0.59999389629810485"/>
        <bgColor indexed="64"/>
      </patternFill>
    </fill>
    <fill>
      <patternFill patternType="solid">
        <fgColor theme="0" tint="-0.14999847407452621"/>
        <bgColor indexed="64"/>
      </patternFill>
    </fill>
    <fill>
      <patternFill patternType="solid">
        <fgColor theme="3" tint="0.79998168889431442"/>
        <bgColor indexed="64"/>
      </patternFill>
    </fill>
    <fill>
      <patternFill patternType="solid">
        <fgColor rgb="FFFFFF99"/>
        <bgColor indexed="64"/>
      </patternFill>
    </fill>
  </fills>
  <borders count="49">
    <border>
      <left/>
      <right/>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medium">
        <color indexed="64"/>
      </top>
      <bottom/>
      <diagonal/>
    </border>
    <border>
      <left/>
      <right/>
      <top style="medium">
        <color indexed="64"/>
      </top>
      <bottom style="medium">
        <color indexed="64"/>
      </bottom>
      <diagonal/>
    </border>
    <border>
      <left style="medium">
        <color indexed="64"/>
      </left>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style="medium">
        <color indexed="64"/>
      </right>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hair">
        <color indexed="64"/>
      </left>
      <right style="hair">
        <color indexed="64"/>
      </right>
      <top/>
      <bottom style="hair">
        <color indexed="64"/>
      </bottom>
      <diagonal/>
    </border>
    <border>
      <left style="thin">
        <color indexed="64"/>
      </left>
      <right style="thin">
        <color indexed="64"/>
      </right>
      <top/>
      <bottom style="thin">
        <color indexed="64"/>
      </bottom>
      <diagonal/>
    </border>
    <border>
      <left/>
      <right/>
      <top style="thick">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s>
  <cellStyleXfs count="9">
    <xf numFmtId="0" fontId="0" fillId="0" borderId="0"/>
    <xf numFmtId="165" fontId="1" fillId="0" borderId="0" applyFont="0" applyFill="0" applyBorder="0" applyAlignment="0" applyProtection="0"/>
    <xf numFmtId="9" fontId="1" fillId="0" borderId="0" applyFont="0" applyFill="0" applyBorder="0" applyAlignment="0" applyProtection="0"/>
    <xf numFmtId="0" fontId="4" fillId="0" borderId="0"/>
    <xf numFmtId="0" fontId="7" fillId="0" borderId="0"/>
    <xf numFmtId="0" fontId="15" fillId="0" borderId="0"/>
    <xf numFmtId="0" fontId="1" fillId="0" borderId="0"/>
    <xf numFmtId="0" fontId="43" fillId="0" borderId="0" applyNumberFormat="0" applyFill="0" applyBorder="0" applyAlignment="0" applyProtection="0"/>
    <xf numFmtId="171" fontId="1" fillId="0" borderId="0" applyFont="0" applyFill="0" applyBorder="0" applyAlignment="0" applyProtection="0"/>
  </cellStyleXfs>
  <cellXfs count="352">
    <xf numFmtId="0" fontId="0" fillId="0" borderId="0" xfId="0"/>
    <xf numFmtId="0" fontId="0" fillId="0" borderId="0" xfId="0" applyBorder="1"/>
    <xf numFmtId="3" fontId="9" fillId="2" borderId="0" xfId="0" applyNumberFormat="1" applyFont="1" applyFill="1" applyBorder="1"/>
    <xf numFmtId="38" fontId="8" fillId="3" borderId="3" xfId="4" applyNumberFormat="1" applyFont="1" applyFill="1" applyBorder="1" applyProtection="1"/>
    <xf numFmtId="3" fontId="9" fillId="0" borderId="0" xfId="0" applyNumberFormat="1" applyFont="1" applyBorder="1"/>
    <xf numFmtId="4" fontId="9" fillId="0" borderId="4" xfId="0" applyNumberFormat="1" applyFont="1" applyBorder="1"/>
    <xf numFmtId="4" fontId="0" fillId="0" borderId="0" xfId="0" applyNumberFormat="1" applyBorder="1"/>
    <xf numFmtId="0" fontId="10" fillId="4" borderId="9" xfId="0" applyFont="1" applyFill="1" applyBorder="1" applyAlignment="1">
      <alignment horizontal="center"/>
    </xf>
    <xf numFmtId="0" fontId="10" fillId="4" borderId="1" xfId="0" applyFont="1" applyFill="1" applyBorder="1" applyAlignment="1">
      <alignment horizontal="right"/>
    </xf>
    <xf numFmtId="0" fontId="10" fillId="4" borderId="11" xfId="0" applyFont="1" applyFill="1" applyBorder="1" applyAlignment="1">
      <alignment horizontal="left"/>
    </xf>
    <xf numFmtId="0" fontId="10" fillId="4" borderId="12" xfId="0" applyFont="1" applyFill="1" applyBorder="1" applyAlignment="1">
      <alignment horizontal="left"/>
    </xf>
    <xf numFmtId="0" fontId="10" fillId="4" borderId="14" xfId="0" applyFont="1" applyFill="1" applyBorder="1" applyAlignment="1">
      <alignment horizontal="left"/>
    </xf>
    <xf numFmtId="3" fontId="0" fillId="0" borderId="15" xfId="0" applyNumberFormat="1" applyBorder="1" applyAlignment="1">
      <alignment horizontal="center"/>
    </xf>
    <xf numFmtId="9" fontId="0" fillId="0" borderId="0" xfId="2" applyFont="1" applyBorder="1"/>
    <xf numFmtId="166" fontId="2" fillId="0" borderId="2" xfId="0" applyNumberFormat="1" applyFont="1" applyFill="1" applyBorder="1" applyAlignment="1" applyProtection="1">
      <alignment wrapText="1"/>
      <protection locked="0"/>
    </xf>
    <xf numFmtId="166" fontId="0" fillId="7" borderId="2" xfId="0" applyNumberFormat="1" applyFill="1" applyBorder="1" applyProtection="1">
      <protection locked="0"/>
    </xf>
    <xf numFmtId="9" fontId="9" fillId="2" borderId="0" xfId="2" applyFont="1" applyFill="1" applyBorder="1"/>
    <xf numFmtId="0" fontId="2" fillId="0" borderId="12" xfId="0" applyFont="1" applyBorder="1"/>
    <xf numFmtId="167" fontId="2" fillId="0" borderId="0" xfId="0" applyNumberFormat="1" applyFont="1" applyBorder="1"/>
    <xf numFmtId="0" fontId="2" fillId="0" borderId="14" xfId="0" applyFont="1" applyBorder="1"/>
    <xf numFmtId="0" fontId="2" fillId="0" borderId="13" xfId="0" applyFont="1" applyBorder="1" applyAlignment="1">
      <alignment horizontal="right"/>
    </xf>
    <xf numFmtId="164" fontId="0" fillId="0" borderId="0" xfId="0" applyNumberFormat="1" applyBorder="1"/>
    <xf numFmtId="164" fontId="2" fillId="0" borderId="15" xfId="0" applyNumberFormat="1" applyFont="1" applyBorder="1"/>
    <xf numFmtId="164" fontId="2" fillId="0" borderId="13" xfId="0" applyNumberFormat="1" applyFont="1" applyBorder="1"/>
    <xf numFmtId="164" fontId="2" fillId="0" borderId="16" xfId="0" applyNumberFormat="1" applyFont="1" applyBorder="1"/>
    <xf numFmtId="166" fontId="2" fillId="0" borderId="13" xfId="0" applyNumberFormat="1" applyFont="1" applyFill="1" applyBorder="1" applyAlignment="1" applyProtection="1">
      <alignment wrapText="1"/>
      <protection locked="0"/>
    </xf>
    <xf numFmtId="0" fontId="0" fillId="0" borderId="12" xfId="0" applyBorder="1"/>
    <xf numFmtId="164" fontId="2" fillId="0" borderId="0" xfId="0" applyNumberFormat="1" applyFont="1" applyBorder="1"/>
    <xf numFmtId="0" fontId="2" fillId="0" borderId="0" xfId="0" applyFont="1" applyBorder="1" applyAlignment="1">
      <alignment horizontal="center"/>
    </xf>
    <xf numFmtId="0" fontId="0" fillId="0" borderId="12" xfId="0" applyBorder="1" applyAlignment="1">
      <alignment horizontal="center"/>
    </xf>
    <xf numFmtId="0" fontId="2" fillId="0" borderId="13" xfId="0" applyFont="1" applyBorder="1" applyAlignment="1">
      <alignment horizontal="center"/>
    </xf>
    <xf numFmtId="0" fontId="2" fillId="6" borderId="12" xfId="0" applyFont="1" applyFill="1" applyBorder="1"/>
    <xf numFmtId="0" fontId="0" fillId="9" borderId="0" xfId="0" applyFill="1"/>
    <xf numFmtId="0" fontId="13" fillId="9" borderId="0" xfId="0" applyFont="1" applyFill="1"/>
    <xf numFmtId="0" fontId="0" fillId="0" borderId="13" xfId="0" applyBorder="1"/>
    <xf numFmtId="0" fontId="0" fillId="0" borderId="14" xfId="0" applyBorder="1"/>
    <xf numFmtId="0" fontId="0" fillId="0" borderId="15" xfId="0" applyBorder="1"/>
    <xf numFmtId="0" fontId="0" fillId="0" borderId="11" xfId="0" applyBorder="1"/>
    <xf numFmtId="0" fontId="0" fillId="0" borderId="9" xfId="0" applyBorder="1"/>
    <xf numFmtId="0" fontId="0" fillId="0" borderId="1" xfId="0" applyBorder="1"/>
    <xf numFmtId="3" fontId="0" fillId="0" borderId="0" xfId="0" applyNumberFormat="1" applyBorder="1"/>
    <xf numFmtId="3" fontId="0" fillId="0" borderId="15" xfId="0" applyNumberFormat="1" applyBorder="1"/>
    <xf numFmtId="166" fontId="0" fillId="0" borderId="15" xfId="0" applyNumberFormat="1" applyBorder="1"/>
    <xf numFmtId="0" fontId="10" fillId="4" borderId="11" xfId="0" applyFont="1" applyFill="1" applyBorder="1" applyAlignment="1">
      <alignment horizontal="center"/>
    </xf>
    <xf numFmtId="0" fontId="0" fillId="0" borderId="11" xfId="0" applyBorder="1" applyAlignment="1">
      <alignment wrapText="1"/>
    </xf>
    <xf numFmtId="0" fontId="2" fillId="0" borderId="9" xfId="0" applyFont="1" applyBorder="1" applyAlignment="1">
      <alignment wrapText="1"/>
    </xf>
    <xf numFmtId="0" fontId="2" fillId="0" borderId="1" xfId="0" applyFont="1" applyBorder="1" applyAlignment="1">
      <alignment wrapText="1"/>
    </xf>
    <xf numFmtId="0" fontId="2" fillId="0" borderId="12" xfId="0" applyFont="1" applyFill="1" applyBorder="1"/>
    <xf numFmtId="166" fontId="2" fillId="0" borderId="0" xfId="0" applyNumberFormat="1" applyFont="1" applyBorder="1"/>
    <xf numFmtId="166" fontId="2" fillId="0" borderId="13" xfId="0" applyNumberFormat="1" applyFont="1" applyBorder="1"/>
    <xf numFmtId="166" fontId="0" fillId="0" borderId="16" xfId="0" applyNumberFormat="1" applyBorder="1"/>
    <xf numFmtId="0" fontId="3" fillId="0" borderId="9" xfId="0" applyFont="1" applyBorder="1" applyAlignment="1"/>
    <xf numFmtId="1" fontId="2" fillId="0" borderId="9" xfId="0" applyNumberFormat="1" applyFont="1" applyBorder="1"/>
    <xf numFmtId="0" fontId="3" fillId="0" borderId="12" xfId="0" applyFont="1" applyBorder="1" applyAlignment="1">
      <alignment horizontal="center" wrapText="1"/>
    </xf>
    <xf numFmtId="0" fontId="0" fillId="0" borderId="0" xfId="0" applyBorder="1" applyAlignment="1">
      <alignment wrapText="1"/>
    </xf>
    <xf numFmtId="0" fontId="6" fillId="0" borderId="12" xfId="0" applyFont="1" applyBorder="1" applyAlignment="1">
      <alignment horizontal="center"/>
    </xf>
    <xf numFmtId="4" fontId="0" fillId="0" borderId="22" xfId="0" applyNumberFormat="1" applyBorder="1" applyAlignment="1">
      <alignment horizontal="center"/>
    </xf>
    <xf numFmtId="0" fontId="6" fillId="0" borderId="23" xfId="0" applyFont="1" applyBorder="1" applyAlignment="1">
      <alignment horizontal="center"/>
    </xf>
    <xf numFmtId="0" fontId="6" fillId="0" borderId="23" xfId="0" applyFont="1" applyFill="1" applyBorder="1" applyAlignment="1">
      <alignment horizontal="center"/>
    </xf>
    <xf numFmtId="0" fontId="6" fillId="0" borderId="24" xfId="0" applyFont="1" applyFill="1" applyBorder="1" applyAlignment="1">
      <alignment horizontal="center"/>
    </xf>
    <xf numFmtId="0" fontId="2" fillId="0" borderId="25" xfId="0" applyFont="1" applyBorder="1"/>
    <xf numFmtId="0" fontId="2" fillId="0" borderId="10" xfId="0" applyFont="1" applyBorder="1"/>
    <xf numFmtId="0" fontId="2" fillId="0" borderId="26" xfId="0" applyFont="1" applyBorder="1"/>
    <xf numFmtId="1" fontId="0" fillId="0" borderId="12" xfId="0" applyNumberFormat="1" applyBorder="1"/>
    <xf numFmtId="0" fontId="0" fillId="0" borderId="28" xfId="0" applyFont="1" applyFill="1" applyBorder="1" applyAlignment="1">
      <alignment wrapText="1"/>
    </xf>
    <xf numFmtId="0" fontId="0" fillId="0" borderId="29" xfId="0" applyBorder="1"/>
    <xf numFmtId="0" fontId="0" fillId="0" borderId="28" xfId="0" applyBorder="1"/>
    <xf numFmtId="0" fontId="0" fillId="10" borderId="27" xfId="0" applyFill="1" applyBorder="1"/>
    <xf numFmtId="1" fontId="0" fillId="0" borderId="14" xfId="0" applyNumberFormat="1" applyBorder="1"/>
    <xf numFmtId="0" fontId="2" fillId="0" borderId="0" xfId="0" applyFont="1" applyFill="1" applyBorder="1" applyAlignment="1">
      <alignment wrapText="1"/>
    </xf>
    <xf numFmtId="0" fontId="2" fillId="0" borderId="13" xfId="0" applyFont="1" applyFill="1" applyBorder="1" applyAlignment="1">
      <alignment wrapText="1"/>
    </xf>
    <xf numFmtId="166" fontId="0" fillId="0" borderId="0" xfId="0" applyNumberFormat="1" applyFill="1" applyBorder="1"/>
    <xf numFmtId="0" fontId="17" fillId="10" borderId="0" xfId="0" applyFont="1" applyFill="1"/>
    <xf numFmtId="0" fontId="0" fillId="10" borderId="0" xfId="0" applyFill="1"/>
    <xf numFmtId="0" fontId="16" fillId="10" borderId="0" xfId="0" applyFont="1" applyFill="1"/>
    <xf numFmtId="14" fontId="16" fillId="10" borderId="0" xfId="0" applyNumberFormat="1" applyFont="1" applyFill="1"/>
    <xf numFmtId="169" fontId="0" fillId="0" borderId="0" xfId="0" applyNumberFormat="1" applyBorder="1"/>
    <xf numFmtId="169" fontId="0" fillId="0" borderId="15" xfId="0" applyNumberFormat="1" applyBorder="1"/>
    <xf numFmtId="0" fontId="0" fillId="0" borderId="0" xfId="0" applyFill="1" applyBorder="1"/>
    <xf numFmtId="3" fontId="0" fillId="0" borderId="0" xfId="0" applyNumberFormat="1" applyFill="1" applyBorder="1"/>
    <xf numFmtId="0" fontId="0" fillId="0" borderId="28" xfId="0" applyFill="1" applyBorder="1"/>
    <xf numFmtId="0" fontId="2" fillId="0" borderId="14" xfId="0" applyFont="1" applyFill="1" applyBorder="1"/>
    <xf numFmtId="0" fontId="2" fillId="10" borderId="27" xfId="0" applyFont="1" applyFill="1" applyBorder="1"/>
    <xf numFmtId="0" fontId="20" fillId="0" borderId="0" xfId="5" applyFont="1"/>
    <xf numFmtId="166" fontId="2" fillId="0" borderId="0" xfId="1" applyNumberFormat="1" applyFont="1" applyFill="1" applyBorder="1"/>
    <xf numFmtId="166" fontId="2" fillId="0" borderId="30" xfId="1" applyNumberFormat="1" applyFont="1" applyFill="1" applyBorder="1"/>
    <xf numFmtId="0" fontId="15" fillId="0" borderId="5" xfId="5" applyBorder="1"/>
    <xf numFmtId="166" fontId="2" fillId="0" borderId="5" xfId="1" applyNumberFormat="1" applyFont="1" applyFill="1" applyBorder="1"/>
    <xf numFmtId="0" fontId="15" fillId="0" borderId="30" xfId="5" applyFont="1" applyBorder="1"/>
    <xf numFmtId="166" fontId="1" fillId="0" borderId="0" xfId="1" applyNumberFormat="1" applyFont="1" applyFill="1" applyBorder="1"/>
    <xf numFmtId="166" fontId="2" fillId="0" borderId="30" xfId="0" applyNumberFormat="1" applyFont="1" applyBorder="1"/>
    <xf numFmtId="0" fontId="3" fillId="11" borderId="30" xfId="5" applyFont="1" applyFill="1" applyBorder="1"/>
    <xf numFmtId="166" fontId="3" fillId="11" borderId="0" xfId="1" applyNumberFormat="1" applyFont="1" applyFill="1" applyBorder="1"/>
    <xf numFmtId="166" fontId="3" fillId="11" borderId="30" xfId="1" applyNumberFormat="1" applyFont="1" applyFill="1" applyBorder="1"/>
    <xf numFmtId="0" fontId="11" fillId="0" borderId="0" xfId="0" applyFont="1" applyFill="1" applyBorder="1" applyProtection="1"/>
    <xf numFmtId="0" fontId="15" fillId="0" borderId="31" xfId="5" applyBorder="1"/>
    <xf numFmtId="0" fontId="15" fillId="0" borderId="31" xfId="5" applyFont="1" applyBorder="1"/>
    <xf numFmtId="0" fontId="3" fillId="0" borderId="30" xfId="5" applyFont="1" applyBorder="1"/>
    <xf numFmtId="0" fontId="21" fillId="0" borderId="30" xfId="5" applyFont="1" applyBorder="1"/>
    <xf numFmtId="166" fontId="22" fillId="0" borderId="0" xfId="1" applyNumberFormat="1" applyFont="1" applyFill="1" applyBorder="1"/>
    <xf numFmtId="166" fontId="23" fillId="0" borderId="30" xfId="1" applyNumberFormat="1" applyFont="1" applyFill="1" applyBorder="1"/>
    <xf numFmtId="0" fontId="2" fillId="0" borderId="0" xfId="0" applyFont="1" applyBorder="1"/>
    <xf numFmtId="167" fontId="2" fillId="0" borderId="6" xfId="1" applyNumberFormat="1" applyFont="1" applyFill="1" applyBorder="1" applyAlignment="1">
      <alignment horizontal="right"/>
    </xf>
    <xf numFmtId="0" fontId="0" fillId="0" borderId="1" xfId="0" applyFill="1" applyBorder="1"/>
    <xf numFmtId="9" fontId="0" fillId="0" borderId="13" xfId="2" applyFont="1" applyFill="1" applyBorder="1" applyAlignment="1">
      <alignment horizontal="center"/>
    </xf>
    <xf numFmtId="0" fontId="0" fillId="0" borderId="0" xfId="0" applyBorder="1" applyAlignment="1">
      <alignment horizontal="right"/>
    </xf>
    <xf numFmtId="0" fontId="0" fillId="0" borderId="15" xfId="0" applyBorder="1" applyAlignment="1">
      <alignment horizontal="right"/>
    </xf>
    <xf numFmtId="0" fontId="12" fillId="0" borderId="0" xfId="0" applyFont="1"/>
    <xf numFmtId="0" fontId="0" fillId="0" borderId="0" xfId="0" applyFill="1"/>
    <xf numFmtId="167" fontId="2" fillId="0" borderId="2" xfId="0" applyNumberFormat="1" applyFont="1" applyFill="1" applyBorder="1" applyAlignment="1" applyProtection="1">
      <alignment wrapText="1"/>
    </xf>
    <xf numFmtId="167" fontId="2" fillId="0" borderId="0" xfId="0" applyNumberFormat="1" applyFont="1" applyFill="1" applyBorder="1" applyAlignment="1" applyProtection="1">
      <alignment wrapText="1"/>
    </xf>
    <xf numFmtId="0" fontId="0" fillId="0" borderId="12" xfId="0" applyBorder="1" applyAlignment="1">
      <alignment horizontal="left"/>
    </xf>
    <xf numFmtId="0" fontId="10" fillId="4" borderId="25" xfId="0" applyFont="1" applyFill="1" applyBorder="1" applyAlignment="1"/>
    <xf numFmtId="9" fontId="0" fillId="0" borderId="13" xfId="2" applyFont="1" applyBorder="1"/>
    <xf numFmtId="9" fontId="0" fillId="0" borderId="15" xfId="2" applyFont="1" applyBorder="1"/>
    <xf numFmtId="9" fontId="0" fillId="0" borderId="16" xfId="2" applyFont="1" applyBorder="1"/>
    <xf numFmtId="166" fontId="0" fillId="0" borderId="0" xfId="0" applyNumberFormat="1"/>
    <xf numFmtId="0" fontId="3" fillId="6" borderId="32" xfId="0" applyFont="1" applyFill="1" applyBorder="1" applyAlignment="1">
      <alignment horizontal="center" wrapText="1"/>
    </xf>
    <xf numFmtId="0" fontId="10" fillId="4" borderId="25" xfId="0" applyFont="1" applyFill="1" applyBorder="1" applyAlignment="1">
      <alignment horizontal="center"/>
    </xf>
    <xf numFmtId="0" fontId="10" fillId="4" borderId="10" xfId="0" applyFont="1" applyFill="1" applyBorder="1" applyAlignment="1">
      <alignment horizontal="center" wrapText="1"/>
    </xf>
    <xf numFmtId="0" fontId="10" fillId="4" borderId="26" xfId="0" applyFont="1" applyFill="1" applyBorder="1" applyAlignment="1">
      <alignment horizontal="center" wrapText="1"/>
    </xf>
    <xf numFmtId="3" fontId="2" fillId="0" borderId="0" xfId="0" applyNumberFormat="1" applyFont="1" applyBorder="1"/>
    <xf numFmtId="3" fontId="0" fillId="0" borderId="0" xfId="2" applyNumberFormat="1" applyFont="1" applyBorder="1"/>
    <xf numFmtId="0" fontId="2" fillId="0" borderId="13" xfId="0" applyFont="1" applyFill="1" applyBorder="1"/>
    <xf numFmtId="166" fontId="25" fillId="0" borderId="13" xfId="1" applyNumberFormat="1" applyFont="1" applyBorder="1"/>
    <xf numFmtId="0" fontId="26" fillId="2" borderId="12" xfId="0" applyFont="1" applyFill="1" applyBorder="1" applyAlignment="1">
      <alignment horizontal="center"/>
    </xf>
    <xf numFmtId="38" fontId="26" fillId="2" borderId="33" xfId="4" applyNumberFormat="1" applyFont="1" applyFill="1" applyBorder="1" applyProtection="1"/>
    <xf numFmtId="3" fontId="27" fillId="2" borderId="0" xfId="0" applyNumberFormat="1" applyFont="1" applyFill="1" applyBorder="1"/>
    <xf numFmtId="9" fontId="27" fillId="2" borderId="0" xfId="2" applyFont="1" applyFill="1" applyBorder="1"/>
    <xf numFmtId="4" fontId="27" fillId="2" borderId="4" xfId="0" applyNumberFormat="1" applyFont="1" applyFill="1" applyBorder="1"/>
    <xf numFmtId="4" fontId="28" fillId="2" borderId="0" xfId="0" applyNumberFormat="1" applyFont="1" applyFill="1" applyBorder="1"/>
    <xf numFmtId="4" fontId="28" fillId="2" borderId="22" xfId="0" applyNumberFormat="1" applyFont="1" applyFill="1" applyBorder="1" applyAlignment="1">
      <alignment horizontal="center"/>
    </xf>
    <xf numFmtId="38" fontId="26" fillId="2" borderId="3" xfId="4" applyNumberFormat="1" applyFont="1" applyFill="1" applyBorder="1" applyProtection="1"/>
    <xf numFmtId="4" fontId="29" fillId="0" borderId="4" xfId="0" applyNumberFormat="1" applyFont="1" applyFill="1" applyBorder="1" applyAlignment="1" applyProtection="1">
      <alignment horizontal="right"/>
      <protection locked="0"/>
    </xf>
    <xf numFmtId="4" fontId="29" fillId="0" borderId="0" xfId="0" applyNumberFormat="1" applyFont="1" applyFill="1" applyBorder="1" applyAlignment="1" applyProtection="1">
      <alignment horizontal="right"/>
      <protection locked="0"/>
    </xf>
    <xf numFmtId="165" fontId="30" fillId="0" borderId="4" xfId="1" applyFont="1" applyFill="1" applyBorder="1" applyAlignment="1" applyProtection="1">
      <alignment horizontal="right"/>
      <protection locked="0"/>
    </xf>
    <xf numFmtId="4" fontId="29" fillId="0" borderId="34" xfId="0" applyNumberFormat="1" applyFont="1" applyFill="1" applyBorder="1" applyAlignment="1" applyProtection="1">
      <alignment horizontal="right"/>
      <protection locked="0"/>
    </xf>
    <xf numFmtId="4" fontId="29" fillId="0" borderId="8" xfId="0" applyNumberFormat="1" applyFont="1" applyFill="1" applyBorder="1" applyAlignment="1" applyProtection="1">
      <alignment horizontal="right"/>
      <protection locked="0"/>
    </xf>
    <xf numFmtId="165" fontId="30" fillId="0" borderId="34" xfId="1" applyFont="1" applyFill="1" applyBorder="1" applyAlignment="1" applyProtection="1">
      <alignment horizontal="right"/>
      <protection locked="0"/>
    </xf>
    <xf numFmtId="9" fontId="0" fillId="0" borderId="29" xfId="2" applyFont="1" applyFill="1" applyBorder="1" applyAlignment="1">
      <alignment horizontal="center"/>
    </xf>
    <xf numFmtId="3" fontId="0" fillId="0" borderId="13" xfId="0" applyNumberFormat="1" applyBorder="1"/>
    <xf numFmtId="0" fontId="31" fillId="0" borderId="12" xfId="0" applyFont="1" applyBorder="1"/>
    <xf numFmtId="166" fontId="31" fillId="0" borderId="0" xfId="1" applyNumberFormat="1" applyFont="1" applyBorder="1"/>
    <xf numFmtId="9" fontId="31" fillId="0" borderId="0" xfId="2" applyFont="1" applyBorder="1"/>
    <xf numFmtId="166" fontId="31" fillId="0" borderId="0" xfId="0" applyNumberFormat="1" applyFont="1" applyBorder="1"/>
    <xf numFmtId="166" fontId="31" fillId="0" borderId="13" xfId="0" applyNumberFormat="1" applyFont="1" applyBorder="1"/>
    <xf numFmtId="0" fontId="32" fillId="0" borderId="20" xfId="0" applyFont="1" applyBorder="1"/>
    <xf numFmtId="166" fontId="32" fillId="0" borderId="8" xfId="0" applyNumberFormat="1" applyFont="1" applyBorder="1"/>
    <xf numFmtId="9" fontId="32" fillId="0" borderId="8" xfId="2" applyFont="1" applyBorder="1"/>
    <xf numFmtId="166" fontId="32" fillId="5" borderId="8" xfId="0" applyNumberFormat="1" applyFont="1" applyFill="1" applyBorder="1"/>
    <xf numFmtId="166" fontId="32" fillId="5" borderId="21" xfId="0" applyNumberFormat="1" applyFont="1" applyFill="1" applyBorder="1"/>
    <xf numFmtId="3" fontId="0" fillId="0" borderId="16" xfId="0" applyNumberFormat="1" applyBorder="1"/>
    <xf numFmtId="0" fontId="25" fillId="0" borderId="12" xfId="0" applyFont="1" applyBorder="1"/>
    <xf numFmtId="0" fontId="2" fillId="0" borderId="12" xfId="0" applyFont="1" applyFill="1" applyBorder="1" applyProtection="1"/>
    <xf numFmtId="0" fontId="2" fillId="0" borderId="12" xfId="0" applyFont="1" applyBorder="1" applyProtection="1"/>
    <xf numFmtId="0" fontId="33" fillId="0" borderId="0" xfId="0" applyFont="1"/>
    <xf numFmtId="3" fontId="0" fillId="0" borderId="0" xfId="0" applyNumberFormat="1" applyBorder="1" applyAlignment="1">
      <alignment horizontal="right"/>
    </xf>
    <xf numFmtId="166" fontId="2" fillId="0" borderId="30" xfId="0" applyNumberFormat="1" applyFont="1" applyFill="1" applyBorder="1" applyAlignment="1" applyProtection="1">
      <alignment wrapText="1"/>
      <protection locked="0"/>
    </xf>
    <xf numFmtId="168" fontId="34" fillId="0" borderId="0" xfId="0" applyNumberFormat="1" applyFont="1"/>
    <xf numFmtId="164" fontId="0" fillId="0" borderId="13" xfId="0" applyNumberFormat="1" applyBorder="1"/>
    <xf numFmtId="0" fontId="35" fillId="0" borderId="0" xfId="0" applyFont="1"/>
    <xf numFmtId="0" fontId="0" fillId="0" borderId="0" xfId="0" applyFill="1" applyBorder="1" applyProtection="1"/>
    <xf numFmtId="0" fontId="34" fillId="0" borderId="0" xfId="0" applyFont="1"/>
    <xf numFmtId="0" fontId="0" fillId="0" borderId="12" xfId="0" applyFill="1" applyBorder="1" applyProtection="1"/>
    <xf numFmtId="164" fontId="0" fillId="0" borderId="0" xfId="0" applyNumberFormat="1" applyFill="1" applyBorder="1" applyProtection="1">
      <protection locked="0"/>
    </xf>
    <xf numFmtId="166" fontId="36" fillId="0" borderId="0" xfId="0" applyNumberFormat="1" applyFont="1"/>
    <xf numFmtId="3" fontId="0" fillId="0" borderId="15" xfId="0" applyNumberFormat="1" applyBorder="1" applyAlignment="1">
      <alignment horizontal="left"/>
    </xf>
    <xf numFmtId="169" fontId="0" fillId="0" borderId="13" xfId="1" applyNumberFormat="1" applyFont="1" applyFill="1" applyBorder="1"/>
    <xf numFmtId="170" fontId="0" fillId="6" borderId="13" xfId="0" applyNumberFormat="1" applyFill="1" applyBorder="1"/>
    <xf numFmtId="170" fontId="0" fillId="6" borderId="16" xfId="0" applyNumberFormat="1" applyFill="1" applyBorder="1"/>
    <xf numFmtId="169" fontId="0" fillId="0" borderId="0" xfId="1" applyNumberFormat="1" applyFont="1" applyFill="1" applyBorder="1"/>
    <xf numFmtId="0" fontId="12" fillId="0" borderId="0" xfId="0" applyFont="1" applyBorder="1" applyAlignment="1"/>
    <xf numFmtId="0" fontId="0" fillId="0" borderId="0" xfId="0"/>
    <xf numFmtId="165" fontId="30" fillId="0" borderId="30" xfId="1" applyFont="1" applyFill="1" applyBorder="1" applyAlignment="1" applyProtection="1">
      <alignment horizontal="right"/>
      <protection locked="0"/>
    </xf>
    <xf numFmtId="166" fontId="2" fillId="7" borderId="18" xfId="0" applyNumberFormat="1" applyFont="1" applyFill="1" applyBorder="1" applyAlignment="1" applyProtection="1">
      <protection locked="0"/>
    </xf>
    <xf numFmtId="166" fontId="2" fillId="7" borderId="19" xfId="0" applyNumberFormat="1" applyFont="1" applyFill="1" applyBorder="1" applyAlignment="1" applyProtection="1">
      <protection locked="0"/>
    </xf>
    <xf numFmtId="166" fontId="0" fillId="0" borderId="0" xfId="0" applyNumberFormat="1" applyFill="1" applyBorder="1" applyProtection="1">
      <protection locked="0"/>
    </xf>
    <xf numFmtId="166" fontId="0" fillId="0" borderId="0" xfId="0" applyNumberFormat="1" applyFill="1" applyBorder="1" applyProtection="1"/>
    <xf numFmtId="168" fontId="0" fillId="0" borderId="0" xfId="0" applyNumberFormat="1" applyFill="1" applyBorder="1" applyProtection="1">
      <protection locked="0"/>
    </xf>
    <xf numFmtId="164" fontId="0" fillId="0" borderId="0" xfId="0" applyNumberFormat="1" applyFill="1" applyBorder="1" applyProtection="1"/>
    <xf numFmtId="164" fontId="0" fillId="0" borderId="0" xfId="0" applyNumberFormat="1"/>
    <xf numFmtId="0" fontId="25" fillId="0" borderId="0" xfId="0" applyFont="1"/>
    <xf numFmtId="0" fontId="11" fillId="0" borderId="35" xfId="0" applyFont="1" applyBorder="1" applyAlignment="1">
      <alignment horizontal="left"/>
    </xf>
    <xf numFmtId="0" fontId="2" fillId="0" borderId="0" xfId="0" applyFont="1" applyBorder="1" applyAlignment="1">
      <alignment horizontal="right"/>
    </xf>
    <xf numFmtId="166" fontId="2" fillId="7" borderId="17" xfId="0" applyNumberFormat="1" applyFont="1" applyFill="1" applyBorder="1" applyAlignment="1" applyProtection="1">
      <protection locked="0"/>
    </xf>
    <xf numFmtId="0" fontId="0" fillId="0" borderId="38" xfId="0" applyBorder="1"/>
    <xf numFmtId="167" fontId="2" fillId="0" borderId="7" xfId="0" applyNumberFormat="1" applyFont="1" applyFill="1" applyBorder="1" applyAlignment="1" applyProtection="1">
      <alignment wrapText="1"/>
    </xf>
    <xf numFmtId="164" fontId="2" fillId="8" borderId="34" xfId="0" applyNumberFormat="1" applyFont="1" applyFill="1" applyBorder="1" applyProtection="1"/>
    <xf numFmtId="166" fontId="2" fillId="0" borderId="0" xfId="0" applyNumberFormat="1" applyFont="1" applyFill="1" applyBorder="1" applyAlignment="1" applyProtection="1">
      <alignment horizontal="left" wrapText="1"/>
      <protection locked="0"/>
    </xf>
    <xf numFmtId="166" fontId="2" fillId="0" borderId="39" xfId="0" applyNumberFormat="1" applyFont="1" applyFill="1" applyBorder="1" applyAlignment="1" applyProtection="1">
      <alignment horizontal="left" wrapText="1"/>
      <protection locked="0"/>
    </xf>
    <xf numFmtId="9" fontId="12" fillId="9" borderId="0" xfId="2" applyNumberFormat="1" applyFont="1" applyFill="1"/>
    <xf numFmtId="166" fontId="2" fillId="0" borderId="13" xfId="1" applyNumberFormat="1" applyFont="1" applyBorder="1" applyAlignment="1">
      <alignment horizontal="center"/>
    </xf>
    <xf numFmtId="0" fontId="12" fillId="0" borderId="0" xfId="0" applyFont="1" applyBorder="1" applyAlignment="1">
      <alignment horizontal="center"/>
    </xf>
    <xf numFmtId="0" fontId="21" fillId="0" borderId="0" xfId="5" applyFont="1" applyBorder="1"/>
    <xf numFmtId="166" fontId="23" fillId="0" borderId="0" xfId="1" applyNumberFormat="1" applyFont="1" applyFill="1" applyBorder="1"/>
    <xf numFmtId="168" fontId="0" fillId="0" borderId="15" xfId="0" applyNumberFormat="1" applyFill="1" applyBorder="1" applyProtection="1">
      <protection locked="0"/>
    </xf>
    <xf numFmtId="166" fontId="2" fillId="0" borderId="8" xfId="0" applyNumberFormat="1" applyFont="1" applyFill="1" applyBorder="1" applyAlignment="1" applyProtection="1">
      <alignment wrapText="1"/>
      <protection locked="0"/>
    </xf>
    <xf numFmtId="166" fontId="2" fillId="0" borderId="40" xfId="0" applyNumberFormat="1" applyFont="1" applyFill="1" applyBorder="1" applyAlignment="1" applyProtection="1">
      <alignment wrapText="1"/>
      <protection locked="0"/>
    </xf>
    <xf numFmtId="49" fontId="2" fillId="0" borderId="42" xfId="0" applyNumberFormat="1" applyFont="1" applyFill="1" applyBorder="1" applyAlignment="1" applyProtection="1">
      <alignment wrapText="1"/>
      <protection locked="0"/>
    </xf>
    <xf numFmtId="166" fontId="0" fillId="10" borderId="41" xfId="0" applyNumberFormat="1" applyFill="1" applyBorder="1" applyProtection="1"/>
    <xf numFmtId="166" fontId="2" fillId="0" borderId="43" xfId="0" applyNumberFormat="1" applyFont="1" applyFill="1" applyBorder="1" applyAlignment="1" applyProtection="1">
      <alignment wrapText="1"/>
      <protection locked="0"/>
    </xf>
    <xf numFmtId="166" fontId="2" fillId="0" borderId="7" xfId="0" applyNumberFormat="1" applyFont="1" applyFill="1" applyBorder="1" applyAlignment="1" applyProtection="1">
      <alignment wrapText="1"/>
      <protection locked="0"/>
    </xf>
    <xf numFmtId="49" fontId="2" fillId="0" borderId="40" xfId="0" applyNumberFormat="1" applyFont="1" applyFill="1" applyBorder="1" applyAlignment="1" applyProtection="1">
      <alignment wrapText="1"/>
      <protection locked="0"/>
    </xf>
    <xf numFmtId="166" fontId="0" fillId="10" borderId="40" xfId="0" applyNumberFormat="1" applyFill="1" applyBorder="1" applyProtection="1"/>
    <xf numFmtId="164" fontId="0" fillId="10" borderId="40" xfId="0" applyNumberFormat="1" applyFill="1" applyBorder="1" applyProtection="1"/>
    <xf numFmtId="164" fontId="0" fillId="10" borderId="7" xfId="0" applyNumberFormat="1" applyFill="1" applyBorder="1" applyProtection="1"/>
    <xf numFmtId="49" fontId="2" fillId="0" borderId="19" xfId="0" applyNumberFormat="1" applyFont="1" applyFill="1" applyBorder="1" applyAlignment="1" applyProtection="1">
      <alignment wrapText="1"/>
      <protection locked="0"/>
    </xf>
    <xf numFmtId="166" fontId="2" fillId="0" borderId="44" xfId="0" applyNumberFormat="1" applyFont="1" applyFill="1" applyBorder="1" applyAlignment="1" applyProtection="1">
      <alignment wrapText="1"/>
      <protection locked="0"/>
    </xf>
    <xf numFmtId="166" fontId="0" fillId="10" borderId="21" xfId="0" applyNumberFormat="1" applyFill="1" applyBorder="1" applyProtection="1"/>
    <xf numFmtId="0" fontId="0" fillId="0" borderId="12" xfId="0" applyFill="1" applyBorder="1"/>
    <xf numFmtId="166" fontId="2" fillId="0" borderId="0" xfId="0" applyNumberFormat="1" applyFont="1" applyFill="1" applyBorder="1" applyAlignment="1" applyProtection="1">
      <protection locked="0"/>
    </xf>
    <xf numFmtId="166" fontId="2" fillId="0" borderId="0" xfId="0" applyNumberFormat="1" applyFont="1" applyFill="1" applyBorder="1" applyAlignment="1" applyProtection="1">
      <alignment wrapText="1"/>
      <protection locked="0"/>
    </xf>
    <xf numFmtId="164" fontId="0" fillId="0" borderId="0" xfId="0" applyNumberFormat="1" applyFill="1" applyBorder="1"/>
    <xf numFmtId="0" fontId="37" fillId="0" borderId="0" xfId="0" applyFont="1"/>
    <xf numFmtId="166" fontId="12" fillId="0" borderId="12" xfId="0" applyNumberFormat="1" applyFont="1" applyFill="1" applyBorder="1" applyAlignment="1" applyProtection="1">
      <alignment wrapText="1"/>
      <protection locked="0"/>
    </xf>
    <xf numFmtId="0" fontId="38" fillId="0" borderId="0" xfId="0" applyFont="1"/>
    <xf numFmtId="166" fontId="16" fillId="10" borderId="0" xfId="1" applyNumberFormat="1" applyFont="1" applyFill="1" applyAlignment="1"/>
    <xf numFmtId="0" fontId="16" fillId="10" borderId="0" xfId="0" applyNumberFormat="1" applyFont="1" applyFill="1"/>
    <xf numFmtId="0" fontId="39" fillId="0" borderId="0" xfId="0" applyFont="1"/>
    <xf numFmtId="0" fontId="40" fillId="0" borderId="0" xfId="0" applyFont="1"/>
    <xf numFmtId="0" fontId="38" fillId="6" borderId="0" xfId="0" applyFont="1" applyFill="1"/>
    <xf numFmtId="0" fontId="0" fillId="0" borderId="0" xfId="0" applyAlignment="1">
      <alignment wrapText="1"/>
    </xf>
    <xf numFmtId="0" fontId="16" fillId="0" borderId="0" xfId="0" applyFont="1" applyFill="1"/>
    <xf numFmtId="14" fontId="16" fillId="0" borderId="0" xfId="0" applyNumberFormat="1" applyFont="1" applyFill="1"/>
    <xf numFmtId="0" fontId="37" fillId="6" borderId="0" xfId="0" applyFont="1" applyFill="1"/>
    <xf numFmtId="0" fontId="2" fillId="0" borderId="0" xfId="0" applyFont="1" applyFill="1" applyBorder="1" applyAlignment="1">
      <alignment horizontal="center"/>
    </xf>
    <xf numFmtId="164" fontId="25" fillId="0" borderId="0" xfId="0" applyNumberFormat="1" applyFont="1"/>
    <xf numFmtId="164" fontId="41" fillId="0" borderId="0" xfId="0" applyNumberFormat="1" applyFont="1"/>
    <xf numFmtId="164" fontId="42" fillId="0" borderId="13" xfId="0" applyNumberFormat="1" applyFont="1" applyBorder="1"/>
    <xf numFmtId="166" fontId="25" fillId="0" borderId="0" xfId="1" applyNumberFormat="1" applyFont="1"/>
    <xf numFmtId="14" fontId="16" fillId="12" borderId="0" xfId="0" applyNumberFormat="1" applyFont="1" applyFill="1"/>
    <xf numFmtId="0" fontId="16" fillId="12" borderId="0" xfId="0" applyNumberFormat="1" applyFont="1" applyFill="1"/>
    <xf numFmtId="164" fontId="0" fillId="0" borderId="0" xfId="0" applyNumberFormat="1" applyFont="1" applyFill="1" applyBorder="1" applyAlignment="1">
      <alignment horizontal="center"/>
    </xf>
    <xf numFmtId="0" fontId="14" fillId="0" borderId="0" xfId="0" applyFont="1" applyFill="1" applyBorder="1" applyProtection="1"/>
    <xf numFmtId="0" fontId="15" fillId="0" borderId="0" xfId="3" applyFont="1" applyFill="1" applyBorder="1" applyProtection="1"/>
    <xf numFmtId="164" fontId="2" fillId="0" borderId="0" xfId="0" applyNumberFormat="1" applyFont="1" applyFill="1" applyBorder="1" applyAlignment="1">
      <alignment horizontal="right"/>
    </xf>
    <xf numFmtId="164" fontId="11" fillId="0" borderId="0" xfId="0" applyNumberFormat="1" applyFont="1" applyFill="1" applyBorder="1" applyProtection="1"/>
    <xf numFmtId="0" fontId="3" fillId="0" borderId="0" xfId="3" applyFont="1" applyFill="1" applyBorder="1" applyProtection="1"/>
    <xf numFmtId="164" fontId="2" fillId="0" borderId="0" xfId="0" applyNumberFormat="1" applyFont="1" applyFill="1" applyBorder="1"/>
    <xf numFmtId="0" fontId="24" fillId="0" borderId="0" xfId="3" applyFont="1" applyFill="1" applyBorder="1" applyProtection="1"/>
    <xf numFmtId="0" fontId="43" fillId="0" borderId="0" xfId="7"/>
    <xf numFmtId="0" fontId="2" fillId="0" borderId="0" xfId="0" applyFont="1"/>
    <xf numFmtId="0" fontId="0" fillId="0" borderId="0" xfId="0" applyFont="1"/>
    <xf numFmtId="0" fontId="2" fillId="0" borderId="0" xfId="0" applyFont="1" applyFill="1"/>
    <xf numFmtId="14" fontId="0" fillId="0" borderId="0" xfId="0" applyNumberFormat="1"/>
    <xf numFmtId="166" fontId="0" fillId="12" borderId="2" xfId="0" applyNumberFormat="1" applyFill="1" applyBorder="1" applyProtection="1"/>
    <xf numFmtId="164" fontId="0" fillId="12" borderId="7" xfId="0" applyNumberFormat="1" applyFill="1" applyBorder="1" applyProtection="1">
      <protection locked="0"/>
    </xf>
    <xf numFmtId="164" fontId="0" fillId="12" borderId="2" xfId="0" applyNumberFormat="1" applyFill="1" applyBorder="1" applyProtection="1">
      <protection locked="0"/>
    </xf>
    <xf numFmtId="166" fontId="0" fillId="12" borderId="7" xfId="0" applyNumberFormat="1" applyFill="1" applyBorder="1" applyProtection="1"/>
    <xf numFmtId="166" fontId="0" fillId="12" borderId="40" xfId="0" applyNumberFormat="1" applyFill="1" applyBorder="1" applyProtection="1"/>
    <xf numFmtId="167" fontId="2" fillId="0" borderId="40" xfId="0" applyNumberFormat="1" applyFont="1" applyFill="1" applyBorder="1" applyAlignment="1" applyProtection="1">
      <alignment wrapText="1"/>
    </xf>
    <xf numFmtId="164" fontId="0" fillId="12" borderId="40" xfId="0" applyNumberFormat="1" applyFill="1" applyBorder="1" applyProtection="1">
      <protection locked="0"/>
    </xf>
    <xf numFmtId="164" fontId="2" fillId="8" borderId="40" xfId="0" applyNumberFormat="1" applyFont="1" applyFill="1" applyBorder="1" applyProtection="1"/>
    <xf numFmtId="166" fontId="2" fillId="0" borderId="45" xfId="0" applyNumberFormat="1" applyFont="1" applyFill="1" applyBorder="1" applyAlignment="1" applyProtection="1">
      <alignment wrapText="1"/>
      <protection locked="0"/>
    </xf>
    <xf numFmtId="164" fontId="25" fillId="8" borderId="46" xfId="0" applyNumberFormat="1" applyFont="1" applyFill="1" applyBorder="1" applyProtection="1"/>
    <xf numFmtId="164" fontId="2" fillId="8" borderId="46" xfId="0" applyNumberFormat="1" applyFont="1" applyFill="1" applyBorder="1" applyProtection="1"/>
    <xf numFmtId="166" fontId="2" fillId="0" borderId="47" xfId="0" applyNumberFormat="1" applyFont="1" applyFill="1" applyBorder="1" applyAlignment="1" applyProtection="1">
      <alignment horizontal="center" wrapText="1"/>
      <protection locked="0"/>
    </xf>
    <xf numFmtId="166" fontId="12" fillId="0" borderId="48" xfId="0" applyNumberFormat="1" applyFont="1" applyFill="1" applyBorder="1" applyAlignment="1" applyProtection="1">
      <alignment horizontal="center" wrapText="1"/>
      <protection locked="0"/>
    </xf>
    <xf numFmtId="164" fontId="0" fillId="10" borderId="48" xfId="0" applyNumberFormat="1" applyFill="1" applyBorder="1" applyProtection="1"/>
    <xf numFmtId="164" fontId="0" fillId="12" borderId="0" xfId="0" applyNumberFormat="1" applyFill="1" applyBorder="1"/>
    <xf numFmtId="164" fontId="0" fillId="12" borderId="0" xfId="0" applyNumberFormat="1" applyFill="1" applyBorder="1" applyProtection="1">
      <protection locked="0"/>
    </xf>
    <xf numFmtId="0" fontId="11" fillId="0" borderId="0" xfId="0" applyFont="1"/>
    <xf numFmtId="0" fontId="2" fillId="5" borderId="0" xfId="0" applyFont="1" applyFill="1"/>
    <xf numFmtId="0" fontId="0" fillId="12" borderId="2" xfId="0" applyNumberFormat="1" applyFont="1" applyFill="1" applyBorder="1"/>
    <xf numFmtId="0" fontId="0" fillId="5" borderId="0" xfId="0" applyFill="1"/>
    <xf numFmtId="0" fontId="44" fillId="0" borderId="0" xfId="0" applyFont="1"/>
    <xf numFmtId="0" fontId="37" fillId="0" borderId="0" xfId="0" applyFont="1" applyAlignment="1"/>
    <xf numFmtId="0" fontId="37" fillId="0" borderId="13" xfId="0" applyFont="1" applyBorder="1" applyAlignment="1"/>
    <xf numFmtId="0" fontId="12" fillId="0" borderId="0" xfId="0" applyFont="1" applyFill="1" applyBorder="1"/>
    <xf numFmtId="0" fontId="13" fillId="0" borderId="0" xfId="0" applyFont="1" applyFill="1"/>
    <xf numFmtId="9" fontId="12" fillId="0" borderId="0" xfId="2" applyNumberFormat="1" applyFont="1" applyFill="1"/>
    <xf numFmtId="0" fontId="37" fillId="9" borderId="0" xfId="0" applyFont="1" applyFill="1"/>
    <xf numFmtId="0" fontId="40" fillId="0" borderId="0" xfId="0" applyFont="1" applyAlignment="1">
      <alignment wrapText="1"/>
    </xf>
    <xf numFmtId="0" fontId="11" fillId="0" borderId="0" xfId="0" applyFont="1" applyFill="1" applyBorder="1" applyAlignment="1" applyProtection="1">
      <alignment wrapText="1"/>
    </xf>
    <xf numFmtId="0" fontId="0" fillId="0" borderId="12" xfId="0" applyFill="1" applyBorder="1" applyAlignment="1">
      <alignment horizontal="left"/>
    </xf>
    <xf numFmtId="0" fontId="0" fillId="0" borderId="0" xfId="0" applyFont="1" applyFill="1" applyBorder="1" applyProtection="1"/>
    <xf numFmtId="0" fontId="2" fillId="0" borderId="0" xfId="0" applyFont="1" applyFill="1" applyBorder="1" applyAlignment="1" applyProtection="1"/>
    <xf numFmtId="9" fontId="9" fillId="2" borderId="0" xfId="2" applyNumberFormat="1" applyFont="1" applyFill="1" applyBorder="1"/>
    <xf numFmtId="0" fontId="12" fillId="0" borderId="0" xfId="0" applyFont="1" applyFill="1"/>
    <xf numFmtId="0" fontId="35" fillId="0" borderId="0" xfId="0" applyFont="1" applyFill="1"/>
    <xf numFmtId="0" fontId="43" fillId="0" borderId="0" xfId="7" applyFill="1"/>
    <xf numFmtId="0" fontId="49" fillId="0" borderId="0" xfId="0" applyFont="1"/>
    <xf numFmtId="0" fontId="3" fillId="0" borderId="9" xfId="0" applyFont="1" applyBorder="1"/>
    <xf numFmtId="3" fontId="0" fillId="0" borderId="0" xfId="0" applyNumberFormat="1"/>
    <xf numFmtId="0" fontId="2" fillId="0" borderId="25" xfId="0" applyFont="1" applyFill="1" applyBorder="1"/>
    <xf numFmtId="0" fontId="2" fillId="0" borderId="10" xfId="0" applyFont="1" applyFill="1" applyBorder="1"/>
    <xf numFmtId="0" fontId="2" fillId="0" borderId="0" xfId="0" applyFont="1" applyFill="1" applyBorder="1"/>
    <xf numFmtId="0" fontId="0" fillId="0" borderId="25" xfId="0" applyFont="1" applyFill="1" applyBorder="1"/>
    <xf numFmtId="0" fontId="0" fillId="0" borderId="10" xfId="0" applyFont="1" applyFill="1" applyBorder="1"/>
    <xf numFmtId="0" fontId="0" fillId="0" borderId="10" xfId="0" applyFill="1" applyBorder="1"/>
    <xf numFmtId="0" fontId="2" fillId="0" borderId="26" xfId="0" applyFont="1" applyFill="1" applyBorder="1"/>
    <xf numFmtId="3" fontId="0" fillId="0" borderId="0" xfId="0" applyNumberFormat="1" applyAlignment="1">
      <alignment horizontal="center"/>
    </xf>
    <xf numFmtId="166" fontId="0" fillId="0" borderId="13" xfId="0" applyNumberFormat="1" applyBorder="1"/>
    <xf numFmtId="172" fontId="0" fillId="0" borderId="0" xfId="0" applyNumberFormat="1"/>
    <xf numFmtId="0" fontId="40" fillId="0" borderId="0" xfId="0" applyFont="1" applyAlignment="1">
      <alignment horizontal="left" wrapText="1"/>
    </xf>
    <xf numFmtId="0" fontId="16" fillId="12" borderId="0" xfId="0" applyNumberFormat="1" applyFont="1" applyFill="1" applyAlignment="1">
      <alignment horizontal="left"/>
    </xf>
    <xf numFmtId="14" fontId="16" fillId="12" borderId="0" xfId="0" applyNumberFormat="1" applyFont="1" applyFill="1" applyAlignment="1">
      <alignment horizontal="left"/>
    </xf>
    <xf numFmtId="166" fontId="0" fillId="12" borderId="5" xfId="0" applyNumberFormat="1" applyFill="1" applyBorder="1" applyAlignment="1" applyProtection="1">
      <alignment horizontal="left"/>
    </xf>
    <xf numFmtId="166" fontId="0" fillId="12" borderId="7" xfId="0" applyNumberFormat="1" applyFill="1" applyBorder="1" applyAlignment="1" applyProtection="1">
      <alignment horizontal="left"/>
    </xf>
    <xf numFmtId="167" fontId="2" fillId="0" borderId="8" xfId="0" applyNumberFormat="1" applyFont="1" applyFill="1" applyBorder="1" applyAlignment="1" applyProtection="1">
      <alignment horizontal="center" wrapText="1"/>
    </xf>
    <xf numFmtId="167" fontId="2" fillId="0" borderId="21" xfId="0" applyNumberFormat="1" applyFont="1" applyFill="1" applyBorder="1" applyAlignment="1" applyProtection="1">
      <alignment horizontal="center" wrapText="1"/>
    </xf>
    <xf numFmtId="167" fontId="2" fillId="0" borderId="25" xfId="0" applyNumberFormat="1" applyFont="1" applyFill="1" applyBorder="1" applyAlignment="1" applyProtection="1">
      <alignment horizontal="center" wrapText="1"/>
    </xf>
    <xf numFmtId="167" fontId="2" fillId="0" borderId="10" xfId="0" applyNumberFormat="1" applyFont="1" applyFill="1" applyBorder="1" applyAlignment="1" applyProtection="1">
      <alignment horizontal="center" wrapText="1"/>
    </xf>
    <xf numFmtId="167" fontId="2" fillId="0" borderId="1" xfId="0" applyNumberFormat="1" applyFont="1" applyFill="1" applyBorder="1" applyAlignment="1" applyProtection="1">
      <alignment horizontal="center" wrapText="1"/>
    </xf>
    <xf numFmtId="0" fontId="2" fillId="0" borderId="0" xfId="0" applyFont="1" applyFill="1" applyBorder="1" applyAlignment="1">
      <alignment horizontal="center"/>
    </xf>
    <xf numFmtId="166" fontId="11" fillId="7" borderId="11" xfId="0" applyNumberFormat="1" applyFont="1" applyFill="1" applyBorder="1" applyAlignment="1" applyProtection="1">
      <alignment horizontal="center"/>
      <protection locked="0"/>
    </xf>
    <xf numFmtId="166" fontId="11" fillId="7" borderId="9" xfId="0" applyNumberFormat="1" applyFont="1" applyFill="1" applyBorder="1" applyAlignment="1" applyProtection="1">
      <alignment horizontal="center"/>
      <protection locked="0"/>
    </xf>
    <xf numFmtId="166" fontId="11" fillId="7" borderId="1" xfId="0" applyNumberFormat="1" applyFont="1" applyFill="1" applyBorder="1" applyAlignment="1" applyProtection="1">
      <alignment horizontal="center"/>
      <protection locked="0"/>
    </xf>
    <xf numFmtId="167" fontId="2" fillId="0" borderId="0" xfId="0" applyNumberFormat="1" applyFont="1" applyFill="1" applyBorder="1" applyAlignment="1">
      <alignment horizontal="center"/>
    </xf>
    <xf numFmtId="166" fontId="2" fillId="0" borderId="8" xfId="0" applyNumberFormat="1" applyFont="1" applyFill="1" applyBorder="1" applyAlignment="1" applyProtection="1">
      <alignment horizontal="center" wrapText="1"/>
      <protection locked="0"/>
    </xf>
    <xf numFmtId="166" fontId="2" fillId="0" borderId="21" xfId="0" applyNumberFormat="1" applyFont="1" applyFill="1" applyBorder="1" applyAlignment="1" applyProtection="1">
      <alignment horizontal="center" wrapText="1"/>
      <protection locked="0"/>
    </xf>
    <xf numFmtId="0" fontId="16" fillId="0" borderId="11" xfId="0" applyFont="1" applyBorder="1" applyAlignment="1">
      <alignment horizontal="left" wrapText="1"/>
    </xf>
    <xf numFmtId="0" fontId="16" fillId="0" borderId="9" xfId="0" applyFont="1" applyBorder="1" applyAlignment="1">
      <alignment horizontal="left" wrapText="1"/>
    </xf>
    <xf numFmtId="0" fontId="16" fillId="0" borderId="1" xfId="0" applyFont="1" applyBorder="1" applyAlignment="1">
      <alignment horizontal="left" wrapText="1"/>
    </xf>
    <xf numFmtId="0" fontId="16" fillId="0" borderId="12" xfId="0" applyFont="1" applyBorder="1" applyAlignment="1">
      <alignment horizontal="left" wrapText="1"/>
    </xf>
    <xf numFmtId="0" fontId="16" fillId="0" borderId="0" xfId="0" applyFont="1" applyBorder="1" applyAlignment="1">
      <alignment horizontal="left" wrapText="1"/>
    </xf>
    <xf numFmtId="0" fontId="16" fillId="0" borderId="13" xfId="0" applyFont="1" applyBorder="1" applyAlignment="1">
      <alignment horizontal="left" wrapText="1"/>
    </xf>
    <xf numFmtId="0" fontId="16" fillId="0" borderId="14" xfId="0" applyFont="1" applyBorder="1" applyAlignment="1">
      <alignment horizontal="left" wrapText="1"/>
    </xf>
    <xf numFmtId="0" fontId="16" fillId="0" borderId="15" xfId="0" applyFont="1" applyBorder="1" applyAlignment="1">
      <alignment horizontal="left" wrapText="1"/>
    </xf>
    <xf numFmtId="0" fontId="16" fillId="0" borderId="16" xfId="0" applyFont="1" applyBorder="1" applyAlignment="1">
      <alignment horizontal="left" wrapText="1"/>
    </xf>
    <xf numFmtId="166" fontId="2" fillId="0" borderId="36" xfId="0" applyNumberFormat="1" applyFont="1" applyFill="1" applyBorder="1" applyAlignment="1" applyProtection="1">
      <alignment horizontal="left" wrapText="1"/>
      <protection locked="0"/>
    </xf>
    <xf numFmtId="166" fontId="2" fillId="0" borderId="37" xfId="0" applyNumberFormat="1" applyFont="1" applyFill="1" applyBorder="1" applyAlignment="1" applyProtection="1">
      <alignment horizontal="left" wrapText="1"/>
      <protection locked="0"/>
    </xf>
    <xf numFmtId="166" fontId="2" fillId="0" borderId="2" xfId="0" applyNumberFormat="1" applyFont="1" applyFill="1" applyBorder="1" applyAlignment="1" applyProtection="1">
      <alignment horizontal="left" wrapText="1"/>
      <protection locked="0"/>
    </xf>
    <xf numFmtId="166" fontId="0" fillId="0" borderId="2" xfId="0" applyNumberFormat="1" applyFill="1" applyBorder="1" applyAlignment="1" applyProtection="1">
      <alignment horizontal="left"/>
      <protection locked="0"/>
    </xf>
    <xf numFmtId="166" fontId="2" fillId="0" borderId="2" xfId="0" applyNumberFormat="1" applyFont="1" applyFill="1" applyBorder="1" applyAlignment="1" applyProtection="1">
      <alignment horizontal="left"/>
      <protection locked="0"/>
    </xf>
    <xf numFmtId="166" fontId="2" fillId="12" borderId="5" xfId="0" applyNumberFormat="1" applyFont="1" applyFill="1" applyBorder="1" applyAlignment="1" applyProtection="1">
      <alignment horizontal="left"/>
    </xf>
    <xf numFmtId="166" fontId="2" fillId="12" borderId="7" xfId="0" applyNumberFormat="1" applyFont="1" applyFill="1" applyBorder="1" applyAlignment="1" applyProtection="1">
      <alignment horizontal="left"/>
    </xf>
    <xf numFmtId="0" fontId="0" fillId="0" borderId="12" xfId="0" applyBorder="1" applyAlignment="1">
      <alignment horizontal="left" wrapText="1"/>
    </xf>
    <xf numFmtId="166" fontId="2" fillId="7" borderId="11" xfId="0" applyNumberFormat="1" applyFont="1" applyFill="1" applyBorder="1" applyAlignment="1" applyProtection="1">
      <alignment horizontal="center"/>
      <protection locked="0"/>
    </xf>
    <xf numFmtId="166" fontId="2" fillId="7" borderId="9" xfId="0" applyNumberFormat="1" applyFont="1" applyFill="1" applyBorder="1" applyAlignment="1" applyProtection="1">
      <alignment horizontal="center"/>
      <protection locked="0"/>
    </xf>
    <xf numFmtId="166" fontId="2" fillId="7" borderId="1" xfId="0" applyNumberFormat="1" applyFont="1" applyFill="1" applyBorder="1" applyAlignment="1" applyProtection="1">
      <alignment horizontal="center"/>
      <protection locked="0"/>
    </xf>
    <xf numFmtId="166" fontId="2" fillId="7" borderId="17" xfId="0" applyNumberFormat="1" applyFont="1" applyFill="1" applyBorder="1" applyAlignment="1" applyProtection="1">
      <alignment horizontal="center"/>
      <protection locked="0"/>
    </xf>
    <xf numFmtId="166" fontId="2" fillId="7" borderId="18" xfId="0" applyNumberFormat="1" applyFont="1" applyFill="1" applyBorder="1" applyAlignment="1" applyProtection="1">
      <alignment horizontal="center"/>
      <protection locked="0"/>
    </xf>
    <xf numFmtId="166" fontId="2" fillId="7" borderId="19" xfId="0" applyNumberFormat="1" applyFont="1" applyFill="1" applyBorder="1" applyAlignment="1" applyProtection="1">
      <alignment horizontal="center"/>
      <protection locked="0"/>
    </xf>
    <xf numFmtId="0" fontId="2" fillId="0" borderId="12" xfId="0" applyFont="1" applyFill="1" applyBorder="1" applyAlignment="1" applyProtection="1">
      <alignment horizontal="left"/>
    </xf>
    <xf numFmtId="0" fontId="2" fillId="0" borderId="0" xfId="0" applyFont="1" applyFill="1" applyBorder="1" applyAlignment="1" applyProtection="1">
      <alignment horizontal="left"/>
    </xf>
    <xf numFmtId="0" fontId="37" fillId="0" borderId="0" xfId="0" applyFont="1" applyAlignment="1">
      <alignment horizontal="left" wrapText="1"/>
    </xf>
    <xf numFmtId="0" fontId="2" fillId="0" borderId="14" xfId="0" applyFont="1" applyBorder="1" applyAlignment="1">
      <alignment horizontal="left"/>
    </xf>
    <xf numFmtId="0" fontId="2" fillId="0" borderId="15" xfId="0" applyFont="1" applyBorder="1" applyAlignment="1">
      <alignment horizontal="left"/>
    </xf>
    <xf numFmtId="0" fontId="12" fillId="0" borderId="0" xfId="0" applyFont="1" applyBorder="1" applyAlignment="1">
      <alignment horizontal="center"/>
    </xf>
    <xf numFmtId="166" fontId="16" fillId="10" borderId="0" xfId="1" applyNumberFormat="1" applyFont="1" applyFill="1" applyAlignment="1">
      <alignment horizontal="center"/>
    </xf>
    <xf numFmtId="0" fontId="0" fillId="0" borderId="0" xfId="0" applyFill="1" applyAlignment="1">
      <alignment horizontal="center" wrapText="1"/>
    </xf>
    <xf numFmtId="0" fontId="3" fillId="0" borderId="11" xfId="0" applyFont="1" applyBorder="1" applyAlignment="1">
      <alignment horizontal="center" wrapText="1"/>
    </xf>
    <xf numFmtId="0" fontId="3" fillId="0" borderId="9" xfId="0" applyFont="1" applyBorder="1" applyAlignment="1">
      <alignment horizontal="center" wrapText="1"/>
    </xf>
    <xf numFmtId="0" fontId="10" fillId="4" borderId="10" xfId="0" applyFont="1" applyFill="1" applyBorder="1" applyAlignment="1">
      <alignment horizontal="center"/>
    </xf>
    <xf numFmtId="0" fontId="10" fillId="4" borderId="26" xfId="0" applyFont="1" applyFill="1" applyBorder="1" applyAlignment="1">
      <alignment horizontal="center"/>
    </xf>
    <xf numFmtId="0" fontId="2" fillId="0" borderId="25" xfId="0" applyFont="1" applyBorder="1" applyAlignment="1">
      <alignment horizontal="center"/>
    </xf>
    <xf numFmtId="0" fontId="2" fillId="0" borderId="10" xfId="0" applyFont="1" applyBorder="1" applyAlignment="1">
      <alignment horizontal="center"/>
    </xf>
    <xf numFmtId="0" fontId="2" fillId="0" borderId="26" xfId="0" applyFont="1" applyBorder="1" applyAlignment="1">
      <alignment horizontal="center"/>
    </xf>
    <xf numFmtId="0" fontId="2" fillId="10" borderId="11" xfId="0" applyFont="1" applyFill="1" applyBorder="1" applyAlignment="1">
      <alignment horizontal="center"/>
    </xf>
    <xf numFmtId="0" fontId="2" fillId="10" borderId="1" xfId="0" applyFont="1" applyFill="1" applyBorder="1" applyAlignment="1">
      <alignment horizontal="center"/>
    </xf>
    <xf numFmtId="0" fontId="2" fillId="10" borderId="9" xfId="0" applyFont="1" applyFill="1" applyBorder="1" applyAlignment="1">
      <alignment horizontal="center"/>
    </xf>
  </cellXfs>
  <cellStyles count="9">
    <cellStyle name="Comma" xfId="1" builtinId="3"/>
    <cellStyle name="Currency 2" xfId="8" xr:uid="{FA14E2D6-43BD-4478-84B8-B7232B556A4B}"/>
    <cellStyle name="Hyperlink" xfId="7" builtinId="8"/>
    <cellStyle name="Normal" xfId="0" builtinId="0"/>
    <cellStyle name="Normal 2" xfId="3" xr:uid="{00000000-0005-0000-0000-000003000000}"/>
    <cellStyle name="Normal 2 2" xfId="6" xr:uid="{00000000-0005-0000-0000-000004000000}"/>
    <cellStyle name="Normal 3" xfId="5" xr:uid="{00000000-0005-0000-0000-000005000000}"/>
    <cellStyle name="Normal_Lønnstabell_Lønnstabell" xfId="4" xr:uid="{00000000-0005-0000-0000-000006000000}"/>
    <cellStyle name="Percent" xfId="2" builtinId="5"/>
  </cellStyles>
  <dxfs count="11">
    <dxf>
      <font>
        <b val="0"/>
        <i val="0"/>
        <color theme="0"/>
      </font>
      <fill>
        <patternFill>
          <bgColor theme="0"/>
        </patternFill>
      </fill>
    </dxf>
    <dxf>
      <font>
        <strike/>
        <color rgb="FFFF0000"/>
      </font>
    </dxf>
    <dxf>
      <font>
        <color theme="0"/>
      </font>
      <fill>
        <patternFill>
          <bgColor theme="0"/>
        </patternFill>
      </fill>
    </dxf>
    <dxf>
      <font>
        <b/>
        <i/>
        <color rgb="FFFF0000"/>
      </font>
    </dxf>
    <dxf>
      <font>
        <b/>
        <i val="0"/>
        <strike val="0"/>
        <color rgb="FFFF0000"/>
      </font>
    </dxf>
    <dxf>
      <font>
        <b/>
        <i val="0"/>
        <strike val="0"/>
        <color rgb="FFFF0000"/>
      </font>
    </dxf>
    <dxf>
      <font>
        <color theme="0"/>
      </font>
    </dxf>
    <dxf>
      <font>
        <color theme="0"/>
      </font>
      <fill>
        <patternFill>
          <bgColor theme="0"/>
        </patternFill>
      </fill>
    </dxf>
    <dxf>
      <font>
        <color theme="0"/>
      </font>
      <fill>
        <patternFill>
          <bgColor theme="0"/>
        </patternFill>
      </fill>
    </dxf>
    <dxf>
      <font>
        <color theme="0"/>
      </font>
      <fill>
        <patternFill patternType="none">
          <bgColor auto="1"/>
        </patternFill>
      </fill>
    </dxf>
    <dxf>
      <font>
        <color theme="0"/>
      </font>
      <fill>
        <patternFill patternType="none">
          <bgColor auto="1"/>
        </patternFill>
      </fill>
    </dxf>
  </dxfs>
  <tableStyles count="0" defaultTableStyle="TableStyleMedium2" defaultPivotStyle="PivotStyleMedium9"/>
  <colors>
    <mruColors>
      <color rgb="FFFFFF99"/>
      <color rgb="FFFF5050"/>
      <color rgb="FFFF99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terjru\AppData\Local\Microsoft\Windows\INetCache\Content.Outlook\2AEHZ39W\Kopi%20av%20Beregningsmodell%20EVU%20v5-040918.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oe\ok\radg\Prosjektst&#248;tte\BOA\Budsjettmaler\2019\Gjeldende%20versjon\NFR%20%20mono%20eller%20partner%202019%20(v.3.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rukerveiledning"/>
      <sheetName val="Input"/>
      <sheetName val="Beregninger"/>
      <sheetName val="Oppsummert"/>
      <sheetName val="Unntak i egenbetalingsforsk"/>
      <sheetName val="Finansieringskategorier"/>
      <sheetName val="Figurberegning"/>
      <sheetName val="Def"/>
    </sheetNames>
    <sheetDataSet>
      <sheetData sheetId="0"/>
      <sheetData sheetId="1"/>
      <sheetData sheetId="2"/>
      <sheetData sheetId="3"/>
      <sheetData sheetId="4"/>
      <sheetData sheetId="5"/>
      <sheetData sheetId="6"/>
      <sheetData sheetId="7">
        <row r="2">
          <cell r="A2" t="str">
            <v>A</v>
          </cell>
          <cell r="G2" t="str">
            <v>a.</v>
          </cell>
        </row>
        <row r="3">
          <cell r="A3" t="str">
            <v>B</v>
          </cell>
          <cell r="G3" t="str">
            <v>b.</v>
          </cell>
        </row>
        <row r="4">
          <cell r="A4" t="str">
            <v>C</v>
          </cell>
          <cell r="G4" t="str">
            <v>c.</v>
          </cell>
        </row>
        <row r="5">
          <cell r="A5" t="str">
            <v>D</v>
          </cell>
          <cell r="G5" t="str">
            <v>d.</v>
          </cell>
        </row>
        <row r="6">
          <cell r="A6" t="str">
            <v>E</v>
          </cell>
        </row>
        <row r="7">
          <cell r="A7" t="str">
            <v>F</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kke oppdat-Veiledning"/>
      <sheetName val="1. Prosjektinfo"/>
      <sheetName val="2. Budsjettering - Direkte lønn"/>
      <sheetName val="3. Budsjettering - Timer"/>
      <sheetName val="4. Budsjettering -Drift"/>
      <sheetName val="5. Oppsummering Budsjett"/>
      <sheetName val="6. NFR-søknad"/>
      <sheetName val="7. Samspill BOA-BFV"/>
      <sheetName val="Oppslag"/>
    </sheetNames>
    <sheetDataSet>
      <sheetData sheetId="0"/>
      <sheetData sheetId="1"/>
      <sheetData sheetId="2"/>
      <sheetData sheetId="3"/>
      <sheetData sheetId="4"/>
      <sheetData sheetId="5"/>
      <sheetData sheetId="6"/>
      <sheetData sheetId="7"/>
      <sheetData sheetId="8">
        <row r="3">
          <cell r="B3" t="str">
            <v>Stipendiat</v>
          </cell>
          <cell r="AX3" t="str">
            <v>År</v>
          </cell>
          <cell r="AY3" t="str">
            <v>Reisekostnader</v>
          </cell>
          <cell r="BA3" t="str">
            <v>Ja</v>
          </cell>
        </row>
        <row r="4">
          <cell r="B4" t="str">
            <v>Postdoktor</v>
          </cell>
          <cell r="AX4" t="str">
            <v>Måneder</v>
          </cell>
          <cell r="AY4" t="str">
            <v>Innkjøp av FoU-tjen.</v>
          </cell>
          <cell r="BA4" t="str">
            <v>Nei</v>
          </cell>
        </row>
        <row r="5">
          <cell r="B5" t="str">
            <v>Forsker</v>
          </cell>
          <cell r="AY5" t="str">
            <v>Andre leiested</v>
          </cell>
        </row>
        <row r="6">
          <cell r="B6" t="str">
            <v>Professor</v>
          </cell>
          <cell r="AY6" t="str">
            <v>Investeringer</v>
          </cell>
        </row>
        <row r="7">
          <cell r="B7" t="str">
            <v>Professor II</v>
          </cell>
          <cell r="AY7" t="str">
            <v>Eget leiested</v>
          </cell>
        </row>
        <row r="8">
          <cell r="B8" t="str">
            <v>Vitenskapelig assistent</v>
          </cell>
          <cell r="AY8" t="str">
            <v>Andre driftskostnader</v>
          </cell>
        </row>
        <row r="9">
          <cell r="B9" t="str">
            <v>Førsteamanuensis</v>
          </cell>
        </row>
        <row r="10">
          <cell r="B10" t="str">
            <v>Avdelingsingeniør</v>
          </cell>
        </row>
        <row r="11">
          <cell r="B11" t="str">
            <v>Førsteamanuensis II</v>
          </cell>
        </row>
        <row r="12">
          <cell r="B12" t="str">
            <v>Prosjektleder</v>
          </cell>
        </row>
        <row r="13">
          <cell r="B13" t="str">
            <v>Ingeniør</v>
          </cell>
        </row>
        <row r="14">
          <cell r="B14" t="str">
            <v>Hjelpearbeider</v>
          </cell>
          <cell r="S14" t="str">
            <v>Tekn./Adm. 7</v>
          </cell>
        </row>
        <row r="15">
          <cell r="B15" t="str">
            <v>Unge arbeidstakere</v>
          </cell>
          <cell r="S15" t="str">
            <v>Tekn./Adm. 6</v>
          </cell>
        </row>
        <row r="16">
          <cell r="B16" t="str">
            <v>Laboratorieassistent</v>
          </cell>
          <cell r="S16" t="str">
            <v>Tekn./Adm. 5</v>
          </cell>
        </row>
        <row r="17">
          <cell r="B17" t="str">
            <v>Lærling</v>
          </cell>
          <cell r="S17" t="str">
            <v>Tekn./Adm. 4</v>
          </cell>
        </row>
        <row r="18">
          <cell r="B18" t="str">
            <v>Lærling (reform  94)</v>
          </cell>
          <cell r="S18" t="str">
            <v>Tekn./Adm. 3</v>
          </cell>
        </row>
        <row r="19">
          <cell r="B19" t="str">
            <v>Sekretær</v>
          </cell>
          <cell r="S19" t="str">
            <v>Tekn./Adm. 2</v>
          </cell>
        </row>
        <row r="20">
          <cell r="B20" t="str">
            <v>Renholder</v>
          </cell>
          <cell r="S20" t="str">
            <v>Tekn./Adm. 1</v>
          </cell>
        </row>
        <row r="21">
          <cell r="B21" t="str">
            <v>Fullmektig</v>
          </cell>
          <cell r="S21" t="str">
            <v>Forsker 7</v>
          </cell>
        </row>
        <row r="22">
          <cell r="B22" t="str">
            <v>Førstefullmektig</v>
          </cell>
          <cell r="S22" t="str">
            <v>Forsker 6</v>
          </cell>
        </row>
        <row r="23">
          <cell r="B23" t="str">
            <v>Driftsoperatør</v>
          </cell>
          <cell r="S23" t="str">
            <v>Forsker 5</v>
          </cell>
        </row>
        <row r="24">
          <cell r="B24" t="str">
            <v>Driftstekniker</v>
          </cell>
          <cell r="S24" t="str">
            <v>Forsker 4</v>
          </cell>
        </row>
        <row r="25">
          <cell r="B25" t="str">
            <v>Førstesekretær</v>
          </cell>
          <cell r="S25" t="str">
            <v>Forsker 3</v>
          </cell>
        </row>
        <row r="26">
          <cell r="B26" t="str">
            <v>Fagarbeider m/fagbrev</v>
          </cell>
          <cell r="S26" t="str">
            <v>Forsker 2</v>
          </cell>
        </row>
        <row r="27">
          <cell r="B27" t="str">
            <v>Bibliotekar</v>
          </cell>
          <cell r="S27" t="str">
            <v>Forsker 1</v>
          </cell>
        </row>
        <row r="28">
          <cell r="B28" t="str">
            <v>Sjåfør</v>
          </cell>
        </row>
        <row r="29">
          <cell r="B29" t="str">
            <v>Renholdsleder</v>
          </cell>
        </row>
        <row r="30">
          <cell r="B30" t="str">
            <v>Tekniker</v>
          </cell>
        </row>
        <row r="31">
          <cell r="B31" t="str">
            <v>Driftsleder</v>
          </cell>
        </row>
        <row r="32">
          <cell r="B32" t="str">
            <v>Konsulent</v>
          </cell>
        </row>
        <row r="33">
          <cell r="B33" t="str">
            <v>Førstekonsulent</v>
          </cell>
        </row>
        <row r="34">
          <cell r="B34" t="str">
            <v>Spesialbibliotekar</v>
          </cell>
        </row>
        <row r="35">
          <cell r="B35" t="str">
            <v>Seniorkonsulent</v>
          </cell>
        </row>
        <row r="36">
          <cell r="B36" t="str">
            <v>Hovedbibliotekar</v>
          </cell>
        </row>
        <row r="37">
          <cell r="B37" t="str">
            <v>Overingeniør</v>
          </cell>
        </row>
        <row r="38">
          <cell r="B38" t="str">
            <v>Høgskolelærer/øvingslærer</v>
          </cell>
        </row>
        <row r="39">
          <cell r="B39" t="str">
            <v>Avdelingsleder</v>
          </cell>
        </row>
        <row r="40">
          <cell r="B40" t="str">
            <v>Rådgiver</v>
          </cell>
        </row>
        <row r="41">
          <cell r="B41" t="str">
            <v>Universitetslektor</v>
          </cell>
        </row>
        <row r="42">
          <cell r="B42" t="str">
            <v>Universitetslektor I</v>
          </cell>
        </row>
        <row r="43">
          <cell r="B43" t="str">
            <v>Avdelingssykepleier</v>
          </cell>
        </row>
        <row r="44">
          <cell r="B44" t="str">
            <v>Undervisningsleder</v>
          </cell>
        </row>
        <row r="45">
          <cell r="B45" t="str">
            <v>Universitetsbibliotekar</v>
          </cell>
        </row>
        <row r="46">
          <cell r="B46" t="str">
            <v>Bedriftsfysioterapeut</v>
          </cell>
        </row>
        <row r="47">
          <cell r="B47" t="str">
            <v>Bedriftssykepleier</v>
          </cell>
        </row>
        <row r="48">
          <cell r="B48" t="str">
            <v>Senioringeniør</v>
          </cell>
        </row>
        <row r="49">
          <cell r="B49" t="str">
            <v>Amanuensis</v>
          </cell>
        </row>
        <row r="50">
          <cell r="B50" t="str">
            <v>Førstebibliotekar</v>
          </cell>
        </row>
        <row r="51">
          <cell r="B51" t="str">
            <v>Høgskolelektor</v>
          </cell>
        </row>
        <row r="52">
          <cell r="B52" t="str">
            <v>Klinikkveterinær</v>
          </cell>
        </row>
        <row r="53">
          <cell r="B53" t="str">
            <v>Førstelektor</v>
          </cell>
        </row>
        <row r="54">
          <cell r="B54" t="str">
            <v>Kontorsjef</v>
          </cell>
        </row>
        <row r="55">
          <cell r="B55" t="str">
            <v>Seniorrådgiver</v>
          </cell>
        </row>
        <row r="56">
          <cell r="B56" t="str">
            <v>Sjefingeniør</v>
          </cell>
        </row>
        <row r="57">
          <cell r="B57" t="str">
            <v>Psykolog med godkjent spesiali</v>
          </cell>
        </row>
        <row r="58">
          <cell r="B58" t="str">
            <v>Seniorarkitekt</v>
          </cell>
        </row>
        <row r="59">
          <cell r="B59" t="str">
            <v>Seksjonssjef</v>
          </cell>
        </row>
        <row r="60">
          <cell r="B60" t="str">
            <v>Dosent</v>
          </cell>
        </row>
        <row r="61">
          <cell r="B61" t="str">
            <v>Bedriftslege</v>
          </cell>
        </row>
        <row r="62">
          <cell r="B62" t="str">
            <v>Avdelingsdirektør</v>
          </cell>
        </row>
        <row r="63">
          <cell r="B63" t="str">
            <v>Instituttleder</v>
          </cell>
        </row>
        <row r="64">
          <cell r="B64" t="str">
            <v>Forskningssjef</v>
          </cell>
        </row>
        <row r="65">
          <cell r="B65" t="str">
            <v>Dekan</v>
          </cell>
        </row>
        <row r="66">
          <cell r="B66" t="str">
            <v>Prorektor</v>
          </cell>
        </row>
        <row r="67">
          <cell r="B67" t="str">
            <v>Direktør</v>
          </cell>
        </row>
        <row r="68">
          <cell r="B68" t="str">
            <v>Næringsphd</v>
          </cell>
        </row>
        <row r="69">
          <cell r="B69" t="str">
            <v>Tekn./Adm. 7 ikke ferieuttak</v>
          </cell>
        </row>
        <row r="70">
          <cell r="B70" t="str">
            <v>Tekn./Adm. 6 ikke ferieuttak</v>
          </cell>
        </row>
        <row r="71">
          <cell r="B71" t="str">
            <v>Tekn./Adm. 5 ikke ferieuttak</v>
          </cell>
        </row>
        <row r="72">
          <cell r="B72" t="str">
            <v>Tekn./Adm. 4 ikke ferieuttak</v>
          </cell>
        </row>
        <row r="73">
          <cell r="B73" t="str">
            <v>Tekn./Adm. 3 ikke ferieuttak</v>
          </cell>
        </row>
        <row r="74">
          <cell r="B74" t="str">
            <v>Tekn./Adm. 2 ikke ferieuttak</v>
          </cell>
        </row>
        <row r="75">
          <cell r="B75" t="str">
            <v>Tekn./Adm. 1 ikke ferieuttak</v>
          </cell>
        </row>
        <row r="76">
          <cell r="B76" t="str">
            <v>Forsker 7 ikke ferieuttak</v>
          </cell>
        </row>
        <row r="77">
          <cell r="B77" t="str">
            <v>Forsker 6 ikke ferieuttak</v>
          </cell>
        </row>
        <row r="78">
          <cell r="B78" t="str">
            <v>Forsker 5 ikke ferieuttak</v>
          </cell>
        </row>
        <row r="79">
          <cell r="B79" t="str">
            <v>Forsker 4 ikke ferieuttak</v>
          </cell>
        </row>
        <row r="80">
          <cell r="B80" t="str">
            <v>Forsker 3 ikke ferieuttak</v>
          </cell>
        </row>
        <row r="81">
          <cell r="B81" t="str">
            <v>Forsker 2 ikke ferieuttak</v>
          </cell>
        </row>
        <row r="82">
          <cell r="B82" t="str">
            <v>Forsker 1 ikke ferieuttak</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uhr.no/temasider/totalkostnadsmodell-tdi/" TargetMode="External"/><Relationship Id="rId1" Type="http://schemas.openxmlformats.org/officeDocument/2006/relationships/hyperlink" Target="mailto:kontakt@okavd.ntnu.no?subject=Budsjettmal%20NFR-bidragsprosjekt"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87"/>
  <sheetViews>
    <sheetView topLeftCell="A67" workbookViewId="0">
      <selection activeCell="A86" sqref="A86"/>
    </sheetView>
  </sheetViews>
  <sheetFormatPr defaultColWidth="11.42578125" defaultRowHeight="15" outlineLevelRow="1" x14ac:dyDescent="0.25"/>
  <cols>
    <col min="1" max="1" width="11.42578125" style="172" customWidth="1"/>
    <col min="2" max="16384" width="11.42578125" style="172"/>
  </cols>
  <sheetData>
    <row r="1" spans="1:15" ht="18.75" x14ac:dyDescent="0.3">
      <c r="A1" s="107" t="s">
        <v>387</v>
      </c>
    </row>
    <row r="2" spans="1:15" x14ac:dyDescent="0.25">
      <c r="A2" s="172" t="s">
        <v>423</v>
      </c>
    </row>
    <row r="3" spans="1:15" x14ac:dyDescent="0.25">
      <c r="A3" s="172" t="s">
        <v>398</v>
      </c>
    </row>
    <row r="4" spans="1:15" x14ac:dyDescent="0.25">
      <c r="A4" s="172" t="s">
        <v>388</v>
      </c>
    </row>
    <row r="5" spans="1:15" x14ac:dyDescent="0.25">
      <c r="A5" s="172" t="s">
        <v>389</v>
      </c>
    </row>
    <row r="6" spans="1:15" x14ac:dyDescent="0.25">
      <c r="A6" s="172" t="s">
        <v>390</v>
      </c>
    </row>
    <row r="7" spans="1:15" x14ac:dyDescent="0.25">
      <c r="A7" s="172" t="s">
        <v>424</v>
      </c>
    </row>
    <row r="8" spans="1:15" x14ac:dyDescent="0.25">
      <c r="A8" s="172" t="s">
        <v>379</v>
      </c>
      <c r="F8" s="240" t="s">
        <v>380</v>
      </c>
    </row>
    <row r="11" spans="1:15" ht="18.75" x14ac:dyDescent="0.3">
      <c r="A11" s="278" t="s">
        <v>443</v>
      </c>
      <c r="B11" s="108"/>
      <c r="C11" s="108"/>
      <c r="D11" s="108"/>
      <c r="E11" s="108"/>
      <c r="F11" s="108"/>
      <c r="G11" s="108"/>
      <c r="H11" s="108"/>
      <c r="I11" s="108"/>
      <c r="J11" s="108"/>
      <c r="K11" s="108"/>
      <c r="L11" s="108"/>
      <c r="M11" s="108"/>
      <c r="N11" s="108"/>
      <c r="O11" s="108"/>
    </row>
    <row r="12" spans="1:15" x14ac:dyDescent="0.25">
      <c r="A12" s="108" t="s">
        <v>444</v>
      </c>
      <c r="B12" s="108"/>
      <c r="C12" s="108"/>
      <c r="D12" s="108"/>
      <c r="E12" s="108"/>
      <c r="F12" s="108"/>
      <c r="G12" s="108"/>
      <c r="H12" s="108"/>
      <c r="I12" s="108"/>
      <c r="J12" s="108"/>
      <c r="K12" s="108"/>
      <c r="L12" s="108"/>
      <c r="M12" s="108"/>
      <c r="N12" s="108"/>
      <c r="O12" s="108"/>
    </row>
    <row r="13" spans="1:15" x14ac:dyDescent="0.25">
      <c r="A13" s="108" t="s">
        <v>445</v>
      </c>
      <c r="B13" s="108"/>
      <c r="C13" s="108"/>
      <c r="D13" s="108"/>
      <c r="E13" s="108"/>
      <c r="F13" s="108"/>
      <c r="G13" s="108"/>
      <c r="H13" s="108"/>
      <c r="I13" s="108"/>
      <c r="J13" s="108"/>
      <c r="K13" s="108"/>
      <c r="L13" s="108"/>
      <c r="M13" s="108"/>
      <c r="N13" s="108"/>
      <c r="O13" s="108"/>
    </row>
    <row r="14" spans="1:15" x14ac:dyDescent="0.25">
      <c r="A14" s="108" t="s">
        <v>446</v>
      </c>
      <c r="B14" s="108"/>
      <c r="C14" s="108"/>
      <c r="D14" s="108"/>
      <c r="E14" s="108"/>
      <c r="F14" s="108"/>
      <c r="G14" s="108"/>
      <c r="H14" s="108"/>
      <c r="I14" s="108"/>
      <c r="J14" s="108"/>
      <c r="K14" s="108"/>
      <c r="L14" s="108"/>
      <c r="M14" s="108"/>
      <c r="N14" s="108"/>
      <c r="O14" s="108"/>
    </row>
    <row r="15" spans="1:15" x14ac:dyDescent="0.25">
      <c r="A15" s="108" t="s">
        <v>447</v>
      </c>
      <c r="B15" s="108"/>
      <c r="C15" s="108"/>
      <c r="D15" s="108"/>
      <c r="E15" s="108"/>
      <c r="F15" s="108"/>
      <c r="G15" s="108"/>
      <c r="H15" s="108"/>
      <c r="I15" s="108"/>
      <c r="J15" s="108"/>
      <c r="K15" s="108"/>
      <c r="L15" s="108"/>
      <c r="M15" s="108"/>
      <c r="N15" s="108"/>
      <c r="O15" s="108"/>
    </row>
    <row r="16" spans="1:15" x14ac:dyDescent="0.25">
      <c r="A16" s="108" t="s">
        <v>448</v>
      </c>
      <c r="B16" s="108"/>
      <c r="C16" s="108"/>
      <c r="D16" s="108"/>
      <c r="E16" s="108"/>
      <c r="F16" s="108"/>
      <c r="G16" s="108"/>
      <c r="H16" s="108"/>
      <c r="I16" s="108"/>
      <c r="J16" s="108"/>
      <c r="K16" s="108"/>
      <c r="L16" s="108"/>
      <c r="M16" s="108"/>
      <c r="N16" s="108"/>
      <c r="O16" s="108"/>
    </row>
    <row r="17" spans="1:15" x14ac:dyDescent="0.25">
      <c r="A17" s="108"/>
      <c r="B17" s="108"/>
      <c r="C17" s="108"/>
      <c r="D17" s="108"/>
      <c r="E17" s="108"/>
      <c r="F17" s="108"/>
      <c r="G17" s="108"/>
      <c r="H17" s="108"/>
      <c r="I17" s="108"/>
      <c r="J17" s="108"/>
      <c r="K17" s="108"/>
      <c r="L17" s="108"/>
      <c r="M17" s="108"/>
      <c r="N17" s="108"/>
      <c r="O17" s="108"/>
    </row>
    <row r="18" spans="1:15" x14ac:dyDescent="0.25">
      <c r="A18" s="172" t="s">
        <v>451</v>
      </c>
      <c r="B18" s="108"/>
      <c r="C18" s="108"/>
      <c r="D18" s="108"/>
      <c r="E18" s="108"/>
      <c r="F18" s="108"/>
      <c r="G18" s="108"/>
      <c r="H18" s="108"/>
      <c r="I18" s="108"/>
      <c r="J18" s="108"/>
      <c r="K18" s="108"/>
      <c r="L18" s="108"/>
      <c r="M18" s="108"/>
      <c r="N18" s="108"/>
      <c r="O18" s="108"/>
    </row>
    <row r="19" spans="1:15" x14ac:dyDescent="0.25">
      <c r="A19" s="108"/>
      <c r="B19" s="108"/>
      <c r="C19" s="108"/>
      <c r="D19" s="108"/>
      <c r="E19" s="108"/>
      <c r="F19" s="108"/>
      <c r="G19" s="108"/>
      <c r="H19" s="108"/>
      <c r="I19" s="108"/>
      <c r="J19" s="108"/>
      <c r="K19" s="108"/>
      <c r="L19" s="108"/>
      <c r="M19" s="108"/>
      <c r="N19" s="108"/>
      <c r="O19" s="108"/>
    </row>
    <row r="20" spans="1:15" x14ac:dyDescent="0.25">
      <c r="A20" s="279" t="s">
        <v>449</v>
      </c>
      <c r="B20" s="108"/>
      <c r="C20" s="108"/>
      <c r="D20" s="108"/>
      <c r="E20" s="108"/>
      <c r="F20" s="108"/>
      <c r="G20" s="108"/>
      <c r="H20" s="108"/>
      <c r="I20" s="108"/>
      <c r="J20" s="108"/>
      <c r="K20" s="108"/>
      <c r="L20" s="108"/>
      <c r="M20" s="108"/>
      <c r="N20" s="108"/>
      <c r="O20" s="108"/>
    </row>
    <row r="21" spans="1:15" x14ac:dyDescent="0.25">
      <c r="A21" s="280" t="s">
        <v>450</v>
      </c>
      <c r="B21" s="108"/>
      <c r="C21" s="108"/>
      <c r="D21" s="108"/>
      <c r="E21" s="108"/>
      <c r="F21" s="108"/>
      <c r="G21" s="108"/>
      <c r="H21" s="108"/>
      <c r="I21" s="108"/>
      <c r="J21" s="108"/>
      <c r="K21" s="108"/>
      <c r="L21" s="108"/>
      <c r="M21" s="108"/>
      <c r="N21" s="108"/>
      <c r="O21" s="108"/>
    </row>
    <row r="24" spans="1:15" ht="18.75" x14ac:dyDescent="0.3">
      <c r="A24" s="107" t="s">
        <v>381</v>
      </c>
    </row>
    <row r="25" spans="1:15" x14ac:dyDescent="0.25">
      <c r="A25" s="241"/>
    </row>
    <row r="26" spans="1:15" ht="15.75" outlineLevel="1" x14ac:dyDescent="0.25">
      <c r="A26" s="261" t="s">
        <v>425</v>
      </c>
    </row>
    <row r="27" spans="1:15" outlineLevel="1" x14ac:dyDescent="0.25">
      <c r="A27" s="242" t="s">
        <v>426</v>
      </c>
    </row>
    <row r="28" spans="1:15" outlineLevel="1" x14ac:dyDescent="0.25">
      <c r="A28" s="242"/>
    </row>
    <row r="29" spans="1:15" outlineLevel="1" x14ac:dyDescent="0.25">
      <c r="A29" s="241" t="s">
        <v>427</v>
      </c>
    </row>
    <row r="30" spans="1:15" outlineLevel="1" x14ac:dyDescent="0.25">
      <c r="A30" s="242" t="s">
        <v>391</v>
      </c>
    </row>
    <row r="31" spans="1:15" outlineLevel="1" x14ac:dyDescent="0.25">
      <c r="A31" s="262" t="s">
        <v>429</v>
      </c>
      <c r="B31" s="264"/>
      <c r="C31" s="264"/>
      <c r="D31" s="264"/>
      <c r="E31" s="264"/>
      <c r="F31" s="264"/>
      <c r="G31" s="264"/>
      <c r="H31" s="264"/>
      <c r="I31" s="264"/>
      <c r="J31" s="264"/>
      <c r="K31" s="264"/>
      <c r="L31" s="264"/>
      <c r="M31" s="264"/>
      <c r="N31" s="264"/>
      <c r="O31" s="264"/>
    </row>
    <row r="32" spans="1:15" outlineLevel="1" x14ac:dyDescent="0.25">
      <c r="A32" s="242"/>
    </row>
    <row r="33" spans="1:1" outlineLevel="1" x14ac:dyDescent="0.25">
      <c r="A33" s="241" t="s">
        <v>392</v>
      </c>
    </row>
    <row r="34" spans="1:1" outlineLevel="1" x14ac:dyDescent="0.25">
      <c r="A34" s="172" t="s">
        <v>399</v>
      </c>
    </row>
    <row r="35" spans="1:1" outlineLevel="1" x14ac:dyDescent="0.25">
      <c r="A35" s="172" t="s">
        <v>395</v>
      </c>
    </row>
    <row r="36" spans="1:1" outlineLevel="1" x14ac:dyDescent="0.25">
      <c r="A36" s="172" t="s">
        <v>396</v>
      </c>
    </row>
    <row r="37" spans="1:1" outlineLevel="1" x14ac:dyDescent="0.25">
      <c r="A37" s="172" t="s">
        <v>400</v>
      </c>
    </row>
    <row r="38" spans="1:1" outlineLevel="1" x14ac:dyDescent="0.25">
      <c r="A38" s="172" t="s">
        <v>397</v>
      </c>
    </row>
    <row r="39" spans="1:1" outlineLevel="1" x14ac:dyDescent="0.25">
      <c r="A39" s="172" t="s">
        <v>401</v>
      </c>
    </row>
    <row r="40" spans="1:1" outlineLevel="1" x14ac:dyDescent="0.25">
      <c r="A40" s="172" t="s">
        <v>402</v>
      </c>
    </row>
    <row r="41" spans="1:1" outlineLevel="1" x14ac:dyDescent="0.25">
      <c r="A41" s="172" t="s">
        <v>403</v>
      </c>
    </row>
    <row r="42" spans="1:1" outlineLevel="1" x14ac:dyDescent="0.25">
      <c r="A42" s="181" t="s">
        <v>409</v>
      </c>
    </row>
    <row r="43" spans="1:1" outlineLevel="1" x14ac:dyDescent="0.25">
      <c r="A43" s="172" t="s">
        <v>404</v>
      </c>
    </row>
    <row r="44" spans="1:1" outlineLevel="1" x14ac:dyDescent="0.25"/>
    <row r="45" spans="1:1" outlineLevel="1" x14ac:dyDescent="0.25">
      <c r="A45" s="241" t="s">
        <v>393</v>
      </c>
    </row>
    <row r="46" spans="1:1" outlineLevel="1" x14ac:dyDescent="0.25">
      <c r="A46" s="172" t="s">
        <v>405</v>
      </c>
    </row>
    <row r="47" spans="1:1" outlineLevel="1" x14ac:dyDescent="0.25">
      <c r="A47" s="172" t="s">
        <v>395</v>
      </c>
    </row>
    <row r="48" spans="1:1" outlineLevel="1" x14ac:dyDescent="0.25">
      <c r="A48" s="172" t="s">
        <v>406</v>
      </c>
    </row>
    <row r="49" spans="1:14" outlineLevel="1" x14ac:dyDescent="0.25">
      <c r="A49" s="172" t="s">
        <v>407</v>
      </c>
    </row>
    <row r="50" spans="1:14" outlineLevel="1" x14ac:dyDescent="0.25">
      <c r="A50" s="172" t="s">
        <v>408</v>
      </c>
    </row>
    <row r="51" spans="1:14" outlineLevel="1" x14ac:dyDescent="0.25"/>
    <row r="52" spans="1:14" outlineLevel="1" x14ac:dyDescent="0.25">
      <c r="A52" s="241" t="s">
        <v>394</v>
      </c>
    </row>
    <row r="53" spans="1:14" outlineLevel="1" x14ac:dyDescent="0.25">
      <c r="A53" s="172" t="s">
        <v>382</v>
      </c>
    </row>
    <row r="54" spans="1:14" outlineLevel="1" x14ac:dyDescent="0.25">
      <c r="A54" s="172" t="s">
        <v>410</v>
      </c>
    </row>
    <row r="55" spans="1:14" outlineLevel="1" x14ac:dyDescent="0.25">
      <c r="A55" s="172" t="s">
        <v>383</v>
      </c>
    </row>
    <row r="56" spans="1:14" outlineLevel="1" x14ac:dyDescent="0.25">
      <c r="A56" s="172" t="s">
        <v>384</v>
      </c>
    </row>
    <row r="57" spans="1:14" ht="28.15" customHeight="1" outlineLevel="1" x14ac:dyDescent="0.25">
      <c r="A57" s="294" t="s">
        <v>435</v>
      </c>
      <c r="B57" s="294"/>
      <c r="C57" s="294"/>
      <c r="D57" s="294"/>
      <c r="E57" s="294"/>
      <c r="F57" s="294"/>
      <c r="G57" s="294"/>
      <c r="H57" s="294"/>
      <c r="I57" s="294"/>
      <c r="J57" s="294"/>
      <c r="K57" s="294"/>
      <c r="L57" s="294"/>
      <c r="M57" s="294"/>
      <c r="N57" s="294"/>
    </row>
    <row r="58" spans="1:14" outlineLevel="1" x14ac:dyDescent="0.25">
      <c r="A58" s="219" t="s">
        <v>411</v>
      </c>
    </row>
    <row r="59" spans="1:14" outlineLevel="1" x14ac:dyDescent="0.25"/>
    <row r="60" spans="1:14" outlineLevel="1" x14ac:dyDescent="0.25">
      <c r="A60" s="241" t="s">
        <v>412</v>
      </c>
    </row>
    <row r="61" spans="1:14" outlineLevel="1" x14ac:dyDescent="0.25">
      <c r="A61" s="172" t="s">
        <v>414</v>
      </c>
    </row>
    <row r="62" spans="1:14" outlineLevel="1" x14ac:dyDescent="0.25">
      <c r="A62" s="219" t="s">
        <v>415</v>
      </c>
    </row>
    <row r="63" spans="1:14" outlineLevel="1" x14ac:dyDescent="0.25">
      <c r="A63" s="219" t="s">
        <v>416</v>
      </c>
    </row>
    <row r="64" spans="1:14" outlineLevel="1" x14ac:dyDescent="0.25">
      <c r="A64" s="172" t="s">
        <v>417</v>
      </c>
    </row>
    <row r="65" spans="1:1" outlineLevel="1" x14ac:dyDescent="0.25">
      <c r="A65" s="108"/>
    </row>
    <row r="66" spans="1:1" outlineLevel="1" x14ac:dyDescent="0.25">
      <c r="A66" s="243" t="s">
        <v>413</v>
      </c>
    </row>
    <row r="67" spans="1:1" outlineLevel="1" x14ac:dyDescent="0.25">
      <c r="A67" s="172" t="s">
        <v>420</v>
      </c>
    </row>
    <row r="68" spans="1:1" outlineLevel="1" x14ac:dyDescent="0.25">
      <c r="A68" s="172" t="s">
        <v>434</v>
      </c>
    </row>
    <row r="69" spans="1:1" outlineLevel="1" x14ac:dyDescent="0.25">
      <c r="A69" s="108" t="s">
        <v>421</v>
      </c>
    </row>
    <row r="70" spans="1:1" outlineLevel="1" x14ac:dyDescent="0.25">
      <c r="A70" s="108"/>
    </row>
    <row r="71" spans="1:1" outlineLevel="1" x14ac:dyDescent="0.25">
      <c r="A71" s="243"/>
    </row>
    <row r="74" spans="1:1" ht="18.75" x14ac:dyDescent="0.3">
      <c r="A74" s="107" t="s">
        <v>385</v>
      </c>
    </row>
    <row r="75" spans="1:1" outlineLevel="1" x14ac:dyDescent="0.25">
      <c r="A75" s="172" t="s">
        <v>386</v>
      </c>
    </row>
    <row r="76" spans="1:1" outlineLevel="1" x14ac:dyDescent="0.25">
      <c r="A76" s="244" t="s">
        <v>422</v>
      </c>
    </row>
    <row r="77" spans="1:1" outlineLevel="1" x14ac:dyDescent="0.25">
      <c r="A77" s="244" t="s">
        <v>430</v>
      </c>
    </row>
    <row r="78" spans="1:1" outlineLevel="1" x14ac:dyDescent="0.25">
      <c r="A78" s="172" t="s">
        <v>437</v>
      </c>
    </row>
    <row r="79" spans="1:1" outlineLevel="1" x14ac:dyDescent="0.25">
      <c r="A79" s="172" t="s">
        <v>438</v>
      </c>
    </row>
    <row r="80" spans="1:1" outlineLevel="1" x14ac:dyDescent="0.25">
      <c r="A80" s="244" t="s">
        <v>439</v>
      </c>
    </row>
    <row r="81" spans="1:1" outlineLevel="1" x14ac:dyDescent="0.25">
      <c r="A81" s="244" t="s">
        <v>440</v>
      </c>
    </row>
    <row r="82" spans="1:1" outlineLevel="1" x14ac:dyDescent="0.25">
      <c r="A82" s="244" t="s">
        <v>442</v>
      </c>
    </row>
    <row r="83" spans="1:1" outlineLevel="1" x14ac:dyDescent="0.25">
      <c r="A83" s="244" t="s">
        <v>460</v>
      </c>
    </row>
    <row r="84" spans="1:1" outlineLevel="1" x14ac:dyDescent="0.25">
      <c r="A84" s="244" t="s">
        <v>469</v>
      </c>
    </row>
    <row r="85" spans="1:1" outlineLevel="1" x14ac:dyDescent="0.25">
      <c r="A85" s="244" t="s">
        <v>471</v>
      </c>
    </row>
    <row r="86" spans="1:1" outlineLevel="1" x14ac:dyDescent="0.25">
      <c r="A86" s="244" t="s">
        <v>472</v>
      </c>
    </row>
    <row r="87" spans="1:1" outlineLevel="1" x14ac:dyDescent="0.25">
      <c r="A87" s="244"/>
    </row>
  </sheetData>
  <mergeCells count="1">
    <mergeCell ref="A57:N57"/>
  </mergeCells>
  <hyperlinks>
    <hyperlink ref="F8" r:id="rId1" xr:uid="{00000000-0004-0000-0000-000000000000}"/>
    <hyperlink ref="A21" r:id="rId2" xr:uid="{ECC76CAF-D2E1-4942-998B-DEEE31174340}"/>
  </hyperlinks>
  <pageMargins left="0.7" right="0.7" top="0.75" bottom="0.75" header="0.3" footer="0.3"/>
  <pageSetup orientation="portrait"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Ark4"/>
  <dimension ref="A1:AC81"/>
  <sheetViews>
    <sheetView tabSelected="1" zoomScale="70" zoomScaleNormal="70" workbookViewId="0">
      <selection activeCell="D1" sqref="D1:E1"/>
    </sheetView>
  </sheetViews>
  <sheetFormatPr defaultColWidth="11.42578125" defaultRowHeight="15" outlineLevelRow="1" x14ac:dyDescent="0.25"/>
  <cols>
    <col min="1" max="1" width="14" customWidth="1"/>
    <col min="2" max="2" width="23.85546875" customWidth="1"/>
    <col min="3" max="3" width="15" customWidth="1"/>
    <col min="4" max="4" width="16.42578125" customWidth="1"/>
    <col min="5" max="5" width="14.42578125" customWidth="1"/>
    <col min="6" max="6" width="11" customWidth="1"/>
    <col min="7" max="7" width="13" customWidth="1"/>
    <col min="8" max="8" width="12.7109375" customWidth="1"/>
    <col min="9" max="9" width="11.85546875" customWidth="1"/>
    <col min="10" max="10" width="13.5703125" customWidth="1"/>
    <col min="11" max="11" width="12.5703125" customWidth="1"/>
    <col min="12" max="12" width="10.42578125" customWidth="1"/>
    <col min="13" max="13" width="10.85546875" customWidth="1"/>
    <col min="14" max="14" width="11.42578125" customWidth="1"/>
    <col min="15" max="15" width="12.7109375" customWidth="1"/>
    <col min="16" max="16" width="2.7109375" style="172" customWidth="1"/>
    <col min="17" max="17" width="36.7109375" style="172" customWidth="1"/>
    <col min="18" max="18" width="10.85546875" style="172" customWidth="1"/>
    <col min="19" max="22" width="12.140625" style="172" customWidth="1"/>
    <col min="23" max="24" width="15.28515625" hidden="1" customWidth="1"/>
    <col min="25" max="25" width="11.42578125" hidden="1" customWidth="1"/>
    <col min="26" max="26" width="11.42578125" customWidth="1"/>
    <col min="27" max="27" width="12.85546875" customWidth="1"/>
    <col min="28" max="29" width="15.28515625" customWidth="1"/>
    <col min="30" max="30" width="11.42578125" customWidth="1"/>
    <col min="31" max="31" width="12.85546875" customWidth="1"/>
    <col min="32" max="33" width="15.28515625" customWidth="1"/>
    <col min="34" max="34" width="11.42578125" customWidth="1"/>
    <col min="35" max="35" width="12.85546875" customWidth="1"/>
    <col min="36" max="37" width="15.28515625" customWidth="1"/>
  </cols>
  <sheetData>
    <row r="1" spans="1:24" ht="23.25" x14ac:dyDescent="0.35">
      <c r="A1" s="72" t="s">
        <v>347</v>
      </c>
      <c r="B1" s="73"/>
      <c r="C1" s="73"/>
      <c r="D1" s="296"/>
      <c r="E1" s="296"/>
      <c r="G1" s="74" t="s">
        <v>375</v>
      </c>
      <c r="H1" s="74"/>
      <c r="I1" s="73"/>
      <c r="J1" s="73"/>
      <c r="K1" s="295"/>
      <c r="L1" s="295"/>
      <c r="O1" s="172"/>
      <c r="P1" s="218"/>
      <c r="V1"/>
      <c r="W1" s="108"/>
    </row>
    <row r="2" spans="1:24" ht="21" x14ac:dyDescent="0.35">
      <c r="A2" s="74" t="s">
        <v>348</v>
      </c>
      <c r="B2" s="74"/>
      <c r="C2" s="73"/>
      <c r="D2" s="296"/>
      <c r="E2" s="296"/>
      <c r="O2" s="172"/>
      <c r="V2"/>
    </row>
    <row r="3" spans="1:24" ht="21" x14ac:dyDescent="0.35">
      <c r="A3" s="74" t="s">
        <v>318</v>
      </c>
      <c r="B3" s="74"/>
      <c r="C3" s="73"/>
      <c r="D3" s="230"/>
      <c r="E3" s="224" t="str">
        <f t="shared" ref="E3:E4" si="0">IF(D3="","Må fylles ut","")</f>
        <v>Må fylles ut</v>
      </c>
      <c r="G3" s="74" t="s">
        <v>323</v>
      </c>
      <c r="H3" s="74"/>
      <c r="I3" s="73"/>
      <c r="J3" s="73"/>
      <c r="K3" s="231"/>
      <c r="L3" s="220" t="str">
        <f>IF($D$6="Videreutdanning",IF(K3&lt;1,"Må fylles ut",""),"")</f>
        <v/>
      </c>
      <c r="M3" s="221"/>
      <c r="N3" s="213" t="str">
        <f>IF(E6="Etterutdanning","Etterutdanning MÅ være økonomisk aktivitet","")</f>
        <v/>
      </c>
    </row>
    <row r="4" spans="1:24" ht="21" x14ac:dyDescent="0.35">
      <c r="A4" s="74" t="s">
        <v>108</v>
      </c>
      <c r="B4" s="74"/>
      <c r="C4" s="73"/>
      <c r="D4" s="230"/>
      <c r="E4" s="224" t="str">
        <f t="shared" si="0"/>
        <v>Må fylles ut</v>
      </c>
      <c r="G4" s="74" t="s">
        <v>368</v>
      </c>
      <c r="H4" s="74"/>
      <c r="I4" s="73"/>
      <c r="J4" s="73"/>
      <c r="K4" s="231"/>
      <c r="L4" s="220" t="str">
        <f>IF($D$6="Etterutdanning",IF(K4&lt;1,"Må fylles ut",""),"")</f>
        <v/>
      </c>
    </row>
    <row r="5" spans="1:24" s="172" customFormat="1" ht="21" x14ac:dyDescent="0.35">
      <c r="A5" s="222"/>
      <c r="B5" s="222"/>
      <c r="C5" s="108"/>
      <c r="D5" s="223"/>
      <c r="E5" s="108"/>
    </row>
    <row r="6" spans="1:24" s="172" customFormat="1" ht="18.75" customHeight="1" x14ac:dyDescent="0.35">
      <c r="A6" s="72" t="s">
        <v>320</v>
      </c>
      <c r="B6" s="73"/>
      <c r="C6" s="73"/>
      <c r="D6" s="231"/>
      <c r="E6" s="224" t="str">
        <f>IF(D6="","Må fylles ut","")</f>
        <v>Må fylles ut</v>
      </c>
      <c r="G6" s="74" t="s">
        <v>319</v>
      </c>
      <c r="H6" s="74"/>
      <c r="I6" s="73"/>
      <c r="J6" s="73"/>
      <c r="K6" s="231"/>
      <c r="L6" s="220" t="str">
        <f>IF($D$6="Videreutdanning","Beregnet i simuleringsverktøy (Beregningsmodell EVU)","")</f>
        <v/>
      </c>
    </row>
    <row r="7" spans="1:24" ht="21" x14ac:dyDescent="0.35">
      <c r="A7" s="222"/>
      <c r="B7" s="222"/>
      <c r="C7" s="108"/>
      <c r="D7" s="222"/>
      <c r="E7" s="108"/>
      <c r="O7" s="172"/>
      <c r="V7"/>
    </row>
    <row r="8" spans="1:24" ht="21.75" thickBot="1" x14ac:dyDescent="0.4">
      <c r="A8" s="74" t="s">
        <v>311</v>
      </c>
      <c r="B8" s="74"/>
      <c r="C8" s="73"/>
      <c r="D8" s="231"/>
      <c r="E8" s="224" t="str">
        <f>IF(D8&lt;1,"Må fylles ut","")</f>
        <v>Må fylles ut</v>
      </c>
      <c r="G8" s="74" t="str">
        <f>IF(E6="Etterutdanning","","KDs finansieringskategori")</f>
        <v>KDs finansieringskategori</v>
      </c>
      <c r="H8" s="74"/>
      <c r="I8" s="73"/>
      <c r="J8" s="73"/>
      <c r="K8" s="231"/>
      <c r="L8" s="220" t="str">
        <f>IF($D$6="Videreutdanning","Hentes fra simuleringsverktøy","")</f>
        <v/>
      </c>
      <c r="M8" s="265"/>
      <c r="N8" s="265"/>
      <c r="O8" s="172"/>
      <c r="V8"/>
    </row>
    <row r="9" spans="1:24" s="172" customFormat="1" ht="21" x14ac:dyDescent="0.35">
      <c r="G9" s="74" t="str">
        <f>IF(E6="Etterutdanning","","Unntak i egenbetalingsforskriften")</f>
        <v>Unntak i egenbetalingsforskriften</v>
      </c>
      <c r="H9" s="74"/>
      <c r="I9" s="73"/>
      <c r="J9" s="73"/>
      <c r="K9" s="231"/>
      <c r="L9" s="220" t="str">
        <f>IF($D$6="Videreutdanning","Hentes fra simuleringsverktøy","")</f>
        <v/>
      </c>
      <c r="M9" s="265"/>
      <c r="N9" s="265"/>
      <c r="Q9" s="184" t="s">
        <v>312</v>
      </c>
      <c r="R9" s="174"/>
      <c r="S9" s="174"/>
      <c r="T9" s="174"/>
      <c r="U9" s="175"/>
    </row>
    <row r="10" spans="1:24" s="172" customFormat="1" x14ac:dyDescent="0.25">
      <c r="F10" s="221"/>
      <c r="Q10" s="185"/>
      <c r="R10" s="18">
        <f>G12</f>
        <v>1900</v>
      </c>
      <c r="S10" s="18">
        <f>I12</f>
        <v>1901</v>
      </c>
      <c r="T10" s="18">
        <f>K12</f>
        <v>1902</v>
      </c>
      <c r="U10" s="20" t="s">
        <v>79</v>
      </c>
    </row>
    <row r="11" spans="1:24" ht="14.25" customHeight="1" thickBot="1" x14ac:dyDescent="0.3">
      <c r="C11" s="172"/>
      <c r="G11" s="36"/>
      <c r="H11" s="36"/>
      <c r="I11" s="36"/>
      <c r="J11" s="36"/>
      <c r="K11" s="36"/>
      <c r="L11" s="36"/>
      <c r="M11" s="36"/>
      <c r="N11" s="36"/>
      <c r="P11"/>
      <c r="Q11" s="17" t="s">
        <v>337</v>
      </c>
      <c r="R11" s="21">
        <f>(SUMIF($C$14:$C$23,"Timefør.",H14:H23))/1.4</f>
        <v>0</v>
      </c>
      <c r="S11" s="21">
        <f>(SUMIF($C$14:$C$23,"Timefør.",J14:J23))/1.4</f>
        <v>0</v>
      </c>
      <c r="T11" s="21">
        <f>(SUMIF($C$14:$C$23,"Timefør.",L14:L23))/1.4</f>
        <v>0</v>
      </c>
      <c r="U11" s="23">
        <f t="shared" ref="U11:U16" si="1">SUM(R11:T11)</f>
        <v>0</v>
      </c>
      <c r="W11" s="172"/>
    </row>
    <row r="12" spans="1:24" ht="18.75" x14ac:dyDescent="0.3">
      <c r="A12" s="107" t="s">
        <v>454</v>
      </c>
      <c r="C12" s="172"/>
      <c r="F12" s="34"/>
      <c r="G12" s="299">
        <f>YEAR(D3)</f>
        <v>1900</v>
      </c>
      <c r="H12" s="300"/>
      <c r="I12" s="299">
        <f>G12+1</f>
        <v>1901</v>
      </c>
      <c r="J12" s="300"/>
      <c r="K12" s="299">
        <f>I12+1</f>
        <v>1902</v>
      </c>
      <c r="L12" s="300"/>
      <c r="M12" s="309" t="s">
        <v>322</v>
      </c>
      <c r="N12" s="310"/>
      <c r="Q12" s="17" t="s">
        <v>338</v>
      </c>
      <c r="R12" s="21">
        <f>(SUMIF($C$14:$C$23,"Ompost.",H14:H23))/1.4</f>
        <v>0</v>
      </c>
      <c r="S12" s="21">
        <f>(SUMIF($C$14:$C$23,"Ompost.",J14:J23))/1.4</f>
        <v>0</v>
      </c>
      <c r="T12" s="21">
        <f>(SUMIF($C$14:$C$23,"Ompost.",L14:L23))/1.4</f>
        <v>0</v>
      </c>
      <c r="U12" s="23">
        <f t="shared" si="1"/>
        <v>0</v>
      </c>
      <c r="V12" s="210"/>
    </row>
    <row r="13" spans="1:24" ht="45" customHeight="1" x14ac:dyDescent="0.25">
      <c r="A13" s="14" t="s">
        <v>93</v>
      </c>
      <c r="B13" s="14" t="s">
        <v>310</v>
      </c>
      <c r="C13" s="14" t="s">
        <v>455</v>
      </c>
      <c r="D13" s="14" t="s">
        <v>276</v>
      </c>
      <c r="E13" s="14" t="s">
        <v>115</v>
      </c>
      <c r="F13" s="202" t="s">
        <v>132</v>
      </c>
      <c r="G13" s="201" t="s">
        <v>456</v>
      </c>
      <c r="H13" s="197" t="s">
        <v>470</v>
      </c>
      <c r="I13" s="201" t="s">
        <v>456</v>
      </c>
      <c r="J13" s="197" t="s">
        <v>470</v>
      </c>
      <c r="K13" s="201" t="s">
        <v>456</v>
      </c>
      <c r="L13" s="197" t="s">
        <v>91</v>
      </c>
      <c r="M13" s="201" t="s">
        <v>131</v>
      </c>
      <c r="N13" s="197" t="s">
        <v>336</v>
      </c>
      <c r="Q13" s="17" t="s">
        <v>355</v>
      </c>
      <c r="R13" s="21">
        <f>(SUMIF($B$29:$B$36,"NTNU-ansatt",D$29:D$36))/1.4</f>
        <v>0</v>
      </c>
      <c r="S13" s="21">
        <f>(SUMIF($B$29:$B$36,"NTNU-ansatt",F$29:F$36))/1.4</f>
        <v>0</v>
      </c>
      <c r="T13" s="21">
        <f>(SUMIF($B$29:$B$36,"NTNU-ansatt",H$29:H$36))/1.4</f>
        <v>0</v>
      </c>
      <c r="U13" s="23">
        <f t="shared" si="1"/>
        <v>0</v>
      </c>
      <c r="V13" s="183"/>
      <c r="W13" s="157" t="s">
        <v>281</v>
      </c>
      <c r="X13" s="157" t="s">
        <v>282</v>
      </c>
    </row>
    <row r="14" spans="1:24" x14ac:dyDescent="0.25">
      <c r="A14" s="263" t="s">
        <v>94</v>
      </c>
      <c r="B14" s="263"/>
      <c r="C14" s="263"/>
      <c r="D14" s="15">
        <f>IF(E14&gt;0,VLOOKUP(E14,Oppslag!$S$14:$W$27,5,FALSE),0)</f>
        <v>0</v>
      </c>
      <c r="E14" s="245">
        <f>IF(B14&lt;&gt;0,IF(C14="Timefør.",VLOOKUP(B14,Oppslag!B:F,5,FALSE),0),0)</f>
        <v>0</v>
      </c>
      <c r="F14" s="203">
        <f>IF(E14&gt;0,VLOOKUP(E14,Oppslag!$S$14:$V$27,2,FALSE),0)</f>
        <v>0</v>
      </c>
      <c r="G14" s="245"/>
      <c r="H14" s="204">
        <f>IF($C14="Timefør.",($F14*G14)*1.4*VLOOKUP(G$12,Oppslag!$AT$4:$AV$33,2,FALSE),G14*(1+Oppslag!$N$105)*1.4)</f>
        <v>0</v>
      </c>
      <c r="I14" s="245"/>
      <c r="J14" s="204">
        <f>IF($C14="Timefør.",($F14*I14)*1.4*VLOOKUP(I$12,Oppslag!$AT$4:$AV$33,2,FALSE),I14*(1+Oppslag!$N$105)*1.4)</f>
        <v>0</v>
      </c>
      <c r="K14" s="245"/>
      <c r="L14" s="204">
        <f>IF($C14="Timefør.",($F14*K14)*1.4*VLOOKUP(K$12,Oppslag!$AT$4:$AV$33,2,FALSE),K14*(1+Oppslag!$N$105)*1.4)</f>
        <v>0</v>
      </c>
      <c r="M14" s="205">
        <f>IF($C14="Timefør.",G14+I14+K14,0)</f>
        <v>0</v>
      </c>
      <c r="N14" s="204">
        <f>H14+J14+L14</f>
        <v>0</v>
      </c>
      <c r="Q14" s="17" t="s">
        <v>339</v>
      </c>
      <c r="R14" s="21">
        <f>(SUMIF($B$29:$B$36,"Ekstern",D$29:D$36))/1.4</f>
        <v>0</v>
      </c>
      <c r="S14" s="21">
        <f>(SUMIF($B$29:$B$36,"Ekstern",F$29:F$36))/1.4</f>
        <v>0</v>
      </c>
      <c r="T14" s="21">
        <f>(SUMIF($B$29:$B$36,"Ekstern",H$29:H$36))/1.4</f>
        <v>0</v>
      </c>
      <c r="U14" s="23">
        <f t="shared" si="1"/>
        <v>0</v>
      </c>
      <c r="V14" s="27"/>
      <c r="W14" s="116">
        <f>IF(C14="Timefør.",F14*1.4,0)</f>
        <v>0</v>
      </c>
      <c r="X14">
        <f>IF($M$24=0,0,IF(W14&gt;0,IF($G$24&gt;0,W14*(G14/$G$24),W14*(I14/$I$24)),0))</f>
        <v>0</v>
      </c>
    </row>
    <row r="15" spans="1:24" x14ac:dyDescent="0.25">
      <c r="A15" s="263" t="s">
        <v>95</v>
      </c>
      <c r="B15" s="263"/>
      <c r="C15" s="263"/>
      <c r="D15" s="15">
        <f>IF(E15&gt;0,VLOOKUP(E15,Oppslag!$S$14:$W$27,5,FALSE),0)</f>
        <v>0</v>
      </c>
      <c r="E15" s="245">
        <f>IF(B15&lt;&gt;0,IF(C15="Timefør.",VLOOKUP(B15,Oppslag!B:F,5,FALSE),0),0)</f>
        <v>0</v>
      </c>
      <c r="F15" s="203">
        <f>IF(E15&gt;0,VLOOKUP(E15,Oppslag!$S$14:$V$27,2,FALSE),0)</f>
        <v>0</v>
      </c>
      <c r="G15" s="245"/>
      <c r="H15" s="204">
        <f>IF($C15="Timefør.",($F15*G15)*1.4*VLOOKUP(G$12,Oppslag!$AT$4:$AV$33,2,FALSE),G15*(1+Oppslag!$N$105)*1.4)</f>
        <v>0</v>
      </c>
      <c r="I15" s="245"/>
      <c r="J15" s="204">
        <f>IF($C15="Timefør.",($F15*I15)*1.4*VLOOKUP(I$12,Oppslag!$AT$4:$AV$33,2,FALSE),I15*(1+Oppslag!$N$105)*1.4)</f>
        <v>0</v>
      </c>
      <c r="K15" s="245"/>
      <c r="L15" s="204">
        <f>IF($C15="Timefør.",($F15*K15)*1.4*VLOOKUP(K$12,Oppslag!$AT$4:$AV$33,2,FALSE),K15*(1+Oppslag!$N$105)*1.4)</f>
        <v>0</v>
      </c>
      <c r="M15" s="205">
        <f t="shared" ref="M15:M23" si="2">IF($C15="Timefør.",G15+I15+K15,0)</f>
        <v>0</v>
      </c>
      <c r="N15" s="204">
        <f t="shared" ref="N15:N23" si="3">H15+J15+L15</f>
        <v>0</v>
      </c>
      <c r="Q15" s="17" t="s">
        <v>307</v>
      </c>
      <c r="R15" s="21">
        <f>(SUM(H14:H23)+SUM(D29:D36)-SUM(R11:R14))</f>
        <v>0</v>
      </c>
      <c r="S15" s="21">
        <f>(SUM(J14:J23)+SUM(F29:F36)-SUM(S11:S14))</f>
        <v>0</v>
      </c>
      <c r="T15" s="21">
        <f>(SUM(L14:L23)+SUM(H29:H36)-SUM(T11:T14))</f>
        <v>0</v>
      </c>
      <c r="U15" s="23">
        <f t="shared" si="1"/>
        <v>0</v>
      </c>
      <c r="V15" s="27"/>
      <c r="W15" s="116">
        <f t="shared" ref="W15:W23" si="4">IF(C15="Timefør.",F15*1.4,0)</f>
        <v>0</v>
      </c>
      <c r="X15" s="172">
        <f t="shared" ref="X15:X23" si="5">IF($M$24=0,0,IF(W15&gt;0,IF($G$24&gt;0,W15*(G15/$G$24),W15*(I15/$I$24)),0))</f>
        <v>0</v>
      </c>
    </row>
    <row r="16" spans="1:24" ht="15.75" thickBot="1" x14ac:dyDescent="0.3">
      <c r="A16" s="263" t="s">
        <v>96</v>
      </c>
      <c r="B16" s="263"/>
      <c r="C16" s="263"/>
      <c r="D16" s="15">
        <f>IF(E16&gt;0,VLOOKUP(E16,Oppslag!$S$14:$W$27,5,FALSE),0)</f>
        <v>0</v>
      </c>
      <c r="E16" s="245">
        <f>IF(B16&lt;&gt;0,IF(C16="Timefør.",VLOOKUP(B16,Oppslag!B:F,5,FALSE),0),0)</f>
        <v>0</v>
      </c>
      <c r="F16" s="203">
        <f>IF(E16&gt;0,VLOOKUP(E16,Oppslag!$S$14:$V$27,2,FALSE),0)</f>
        <v>0</v>
      </c>
      <c r="G16" s="245"/>
      <c r="H16" s="204">
        <f>IF($C16="Timefør.",($F16*G16)*1.4*VLOOKUP(G$12,Oppslag!$AT$4:$AV$33,2,FALSE),G16*(1+Oppslag!$N$105)*1.4)</f>
        <v>0</v>
      </c>
      <c r="I16" s="245"/>
      <c r="J16" s="204">
        <f>IF($C16="Timefør.",($F16*I16)*1.4*VLOOKUP(I$12,Oppslag!$AT$4:$AV$33,2,FALSE),I16*(1+Oppslag!$N$105)*1.4)</f>
        <v>0</v>
      </c>
      <c r="K16" s="245"/>
      <c r="L16" s="204">
        <f>IF($C16="Timefør.",($F16*K16)*1.4*VLOOKUP(K$12,Oppslag!$AT$4:$AV$33,2,FALSE),K16*(1+Oppslag!$N$105)*1.4)</f>
        <v>0</v>
      </c>
      <c r="M16" s="205">
        <f t="shared" si="2"/>
        <v>0</v>
      </c>
      <c r="N16" s="204">
        <f t="shared" si="3"/>
        <v>0</v>
      </c>
      <c r="P16" s="34"/>
      <c r="Q16" s="19" t="s">
        <v>114</v>
      </c>
      <c r="R16" s="22">
        <f>SUM(R11:R15)</f>
        <v>0</v>
      </c>
      <c r="S16" s="22">
        <f>SUM(S11:S15)</f>
        <v>0</v>
      </c>
      <c r="T16" s="22">
        <f>SUM(T11:T15)</f>
        <v>0</v>
      </c>
      <c r="U16" s="24">
        <f t="shared" si="1"/>
        <v>0</v>
      </c>
      <c r="V16" s="27"/>
      <c r="W16" s="116">
        <f t="shared" si="4"/>
        <v>0</v>
      </c>
      <c r="X16" s="172">
        <f t="shared" si="5"/>
        <v>0</v>
      </c>
    </row>
    <row r="17" spans="1:25" x14ac:dyDescent="0.25">
      <c r="A17" s="263" t="s">
        <v>97</v>
      </c>
      <c r="B17" s="263"/>
      <c r="C17" s="263"/>
      <c r="D17" s="15">
        <f>IF(E17&gt;0,VLOOKUP(E17,Oppslag!$S$14:$W$27,5,FALSE),0)</f>
        <v>0</v>
      </c>
      <c r="E17" s="245">
        <f>IF(B17&lt;&gt;0,IF(C17="Timefør.",VLOOKUP(B17,Oppslag!B:F,5,FALSE),0),0)</f>
        <v>0</v>
      </c>
      <c r="F17" s="203">
        <f>IF(E17&gt;0,VLOOKUP(E17,Oppslag!$S$14:$V$27,2,FALSE),0)</f>
        <v>0</v>
      </c>
      <c r="G17" s="245"/>
      <c r="H17" s="204">
        <f>IF($C17="Timefør.",($F17*G17)*1.4*VLOOKUP(G$12,Oppslag!$AT$4:$AV$33,2,FALSE),G17*(1+Oppslag!$N$105)*1.4)</f>
        <v>0</v>
      </c>
      <c r="I17" s="245"/>
      <c r="J17" s="204">
        <f>IF($C17="Timefør.",($F17*I17)*1.4*VLOOKUP(I$12,Oppslag!$AT$4:$AV$33,2,FALSE),I17*(1+Oppslag!$N$105)*1.4)</f>
        <v>0</v>
      </c>
      <c r="K17" s="245"/>
      <c r="L17" s="204">
        <f>IF($C17="Timefør.",($F17*K17)*1.4*VLOOKUP(K$12,Oppslag!$AT$4:$AV$33,2,FALSE),K17*(1+Oppslag!$N$105)*1.4)</f>
        <v>0</v>
      </c>
      <c r="M17" s="205">
        <f t="shared" si="2"/>
        <v>0</v>
      </c>
      <c r="N17" s="204">
        <f t="shared" si="3"/>
        <v>0</v>
      </c>
      <c r="P17" s="1"/>
      <c r="Q17" s="38"/>
      <c r="V17" s="27"/>
      <c r="W17" s="116">
        <f t="shared" si="4"/>
        <v>0</v>
      </c>
      <c r="X17" s="172">
        <f t="shared" si="5"/>
        <v>0</v>
      </c>
    </row>
    <row r="18" spans="1:25" hidden="1" outlineLevel="1" x14ac:dyDescent="0.25">
      <c r="A18" s="263" t="s">
        <v>98</v>
      </c>
      <c r="B18" s="263"/>
      <c r="C18" s="263"/>
      <c r="D18" s="15">
        <f>IF(E18&gt;0,VLOOKUP(E18,Oppslag!$S$14:$W$27,5,FALSE),0)</f>
        <v>0</v>
      </c>
      <c r="E18" s="245">
        <f>IF(B18&lt;&gt;0,IF(C18="Timefør.",VLOOKUP(B18,Oppslag!B:F,5,FALSE),0),0)</f>
        <v>0</v>
      </c>
      <c r="F18" s="203">
        <f>IF(E18&gt;0,VLOOKUP(E18,Oppslag!$S$14:$V$27,2,FALSE),0)</f>
        <v>0</v>
      </c>
      <c r="G18" s="245"/>
      <c r="H18" s="204">
        <f>IF($C18="Timefør.",($F18*G18)*1.4*VLOOKUP(G$12,Oppslag!$AT$4:$AV$33,2,FALSE),G18*(1+Oppslag!$N$105)*1.4)</f>
        <v>0</v>
      </c>
      <c r="I18" s="245"/>
      <c r="J18" s="204">
        <f>IF($C18="Timefør.",($F18*I18)*1.4*VLOOKUP(I$12,Oppslag!$AT$4:$AV$33,2,FALSE),I18*(1+Oppslag!$N$105)*1.4)</f>
        <v>0</v>
      </c>
      <c r="K18" s="245"/>
      <c r="L18" s="204">
        <f>IF($C18="Timefør.",($F18*K18)*1.4*VLOOKUP(K$12,Oppslag!$AT$4:$AV$33,2,FALSE),K18*(1+Oppslag!$N$105)*1.4)</f>
        <v>0</v>
      </c>
      <c r="M18" s="205">
        <f t="shared" si="2"/>
        <v>0</v>
      </c>
      <c r="N18" s="204">
        <f t="shared" si="3"/>
        <v>0</v>
      </c>
      <c r="W18" s="116">
        <f t="shared" si="4"/>
        <v>0</v>
      </c>
      <c r="X18" s="172">
        <f t="shared" si="5"/>
        <v>0</v>
      </c>
    </row>
    <row r="19" spans="1:25" hidden="1" outlineLevel="1" x14ac:dyDescent="0.25">
      <c r="A19" s="263" t="s">
        <v>99</v>
      </c>
      <c r="B19" s="263"/>
      <c r="C19" s="263"/>
      <c r="D19" s="15">
        <f>IF(E19&gt;0,VLOOKUP(E19,Oppslag!$S$14:$W$27,5,FALSE),0)</f>
        <v>0</v>
      </c>
      <c r="E19" s="245">
        <f>IF(B19&lt;&gt;0,IF(C19="Timefør.",VLOOKUP(B19,Oppslag!B:F,5,FALSE),0),0)</f>
        <v>0</v>
      </c>
      <c r="F19" s="203">
        <f>IF(E19&gt;0,VLOOKUP(E19,Oppslag!$S$14:$V$27,2,FALSE),0)</f>
        <v>0</v>
      </c>
      <c r="G19" s="245"/>
      <c r="H19" s="204">
        <f>IF($C19="Timefør.",($F19*G19)*1.4*VLOOKUP(G$12,Oppslag!$AT$4:$AV$33,2,FALSE),G19*(1+Oppslag!$N$105)*1.4)</f>
        <v>0</v>
      </c>
      <c r="I19" s="245"/>
      <c r="J19" s="204">
        <f>IF($C19="Timefør.",($F19*I19)*1.4*VLOOKUP(I$12,Oppslag!$AT$4:$AV$33,2,FALSE),I19*(1+Oppslag!$N$105)*1.4)</f>
        <v>0</v>
      </c>
      <c r="K19" s="245"/>
      <c r="L19" s="204">
        <f>IF($C19="Timefør.",($F19*K19)*1.4*VLOOKUP(K$12,Oppslag!$AT$4:$AV$33,2,FALSE),K19*(1+Oppslag!$N$105)*1.4)</f>
        <v>0</v>
      </c>
      <c r="M19" s="205">
        <f t="shared" si="2"/>
        <v>0</v>
      </c>
      <c r="N19" s="204">
        <f t="shared" si="3"/>
        <v>0</v>
      </c>
      <c r="R19" s="180"/>
      <c r="S19" s="116"/>
      <c r="W19" s="116">
        <f t="shared" si="4"/>
        <v>0</v>
      </c>
      <c r="X19" s="172">
        <f t="shared" si="5"/>
        <v>0</v>
      </c>
    </row>
    <row r="20" spans="1:25" hidden="1" outlineLevel="1" x14ac:dyDescent="0.25">
      <c r="A20" s="263" t="s">
        <v>100</v>
      </c>
      <c r="B20" s="263"/>
      <c r="C20" s="263"/>
      <c r="D20" s="15">
        <f>IF(E20&gt;0,VLOOKUP(E20,Oppslag!$S$14:$W$27,5,FALSE),0)</f>
        <v>0</v>
      </c>
      <c r="E20" s="245">
        <f>IF(B20&lt;&gt;0,IF(C20="Timefør.",VLOOKUP(B20,Oppslag!B:F,5,FALSE),0),0)</f>
        <v>0</v>
      </c>
      <c r="F20" s="203">
        <f>IF(E20&gt;0,VLOOKUP(E20,Oppslag!$S$14:$V$27,2,FALSE),0)</f>
        <v>0</v>
      </c>
      <c r="G20" s="245"/>
      <c r="H20" s="204">
        <f>IF($C20="Timefør.",($F20*G20)*1.4*VLOOKUP(G$12,Oppslag!$AT$4:$AV$33,2,FALSE),G20*(1+Oppslag!$N$105)*1.4)</f>
        <v>0</v>
      </c>
      <c r="I20" s="245"/>
      <c r="J20" s="204">
        <f>IF($C20="Timefør.",($F20*I20)*1.4*VLOOKUP(I$12,Oppslag!$AT$4:$AV$33,2,FALSE),I20*(1+Oppslag!$N$105)*1.4)</f>
        <v>0</v>
      </c>
      <c r="K20" s="245"/>
      <c r="L20" s="204">
        <f>IF($C20="Timefør.",($F20*K20)*1.4*VLOOKUP(K$12,Oppslag!$AT$4:$AV$33,2,FALSE),K20*(1+Oppslag!$N$105)*1.4)</f>
        <v>0</v>
      </c>
      <c r="M20" s="205">
        <f t="shared" si="2"/>
        <v>0</v>
      </c>
      <c r="N20" s="204">
        <f t="shared" si="3"/>
        <v>0</v>
      </c>
      <c r="W20" s="116">
        <f t="shared" si="4"/>
        <v>0</v>
      </c>
      <c r="X20" s="172">
        <f t="shared" si="5"/>
        <v>0</v>
      </c>
    </row>
    <row r="21" spans="1:25" hidden="1" outlineLevel="1" x14ac:dyDescent="0.25">
      <c r="A21" s="263" t="s">
        <v>101</v>
      </c>
      <c r="B21" s="263"/>
      <c r="C21" s="263"/>
      <c r="D21" s="15">
        <f>IF(E21&gt;0,VLOOKUP(E21,Oppslag!$S$14:$W$27,5,FALSE),0)</f>
        <v>0</v>
      </c>
      <c r="E21" s="245">
        <f>IF(B21&lt;&gt;0,IF(C21="Timefør.",VLOOKUP(B21,Oppslag!B:F,5,FALSE),0),0)</f>
        <v>0</v>
      </c>
      <c r="F21" s="203">
        <f>IF(E21&gt;0,VLOOKUP(E21,Oppslag!$S$14:$V$27,2,FALSE),0)</f>
        <v>0</v>
      </c>
      <c r="G21" s="245"/>
      <c r="H21" s="204">
        <f>IF($C21="Timefør.",($F21*G21)*1.4*VLOOKUP(G$12,Oppslag!$AT$4:$AV$33,2,FALSE),G21*(1+Oppslag!$N$105)*1.4)</f>
        <v>0</v>
      </c>
      <c r="I21" s="245"/>
      <c r="J21" s="204">
        <f>IF($C21="Timefør.",($F21*I21)*1.4*VLOOKUP(I$12,Oppslag!$AT$4:$AV$33,2,FALSE),I21*(1+Oppslag!$N$105)*1.4)</f>
        <v>0</v>
      </c>
      <c r="K21" s="245"/>
      <c r="L21" s="204">
        <f>IF($C21="Timefør.",($F21*K21)*1.4*VLOOKUP(K$12,Oppslag!$AT$4:$AV$33,2,FALSE),K21*(1+Oppslag!$N$105)*1.4)</f>
        <v>0</v>
      </c>
      <c r="M21" s="205">
        <f t="shared" si="2"/>
        <v>0</v>
      </c>
      <c r="N21" s="204">
        <f t="shared" si="3"/>
        <v>0</v>
      </c>
      <c r="W21" s="116">
        <f t="shared" si="4"/>
        <v>0</v>
      </c>
      <c r="X21" s="172">
        <f t="shared" si="5"/>
        <v>0</v>
      </c>
    </row>
    <row r="22" spans="1:25" hidden="1" outlineLevel="1" x14ac:dyDescent="0.25">
      <c r="A22" s="263" t="s">
        <v>102</v>
      </c>
      <c r="B22" s="263"/>
      <c r="C22" s="263"/>
      <c r="D22" s="15">
        <f>IF(E22&gt;0,VLOOKUP(E22,Oppslag!$S$14:$W$27,5,FALSE),0)</f>
        <v>0</v>
      </c>
      <c r="E22" s="245">
        <f>IF(B22&lt;&gt;0,IF(C22="Timefør.",VLOOKUP(B22,Oppslag!B:F,5,FALSE),0),0)</f>
        <v>0</v>
      </c>
      <c r="F22" s="203">
        <f>IF(E22&gt;0,VLOOKUP(E22,Oppslag!$S$14:$V$27,2,FALSE),0)</f>
        <v>0</v>
      </c>
      <c r="G22" s="245"/>
      <c r="H22" s="204">
        <f>IF($C22="Timefør.",($F22*G22)*1.4*VLOOKUP(G$12,Oppslag!$AT$4:$AV$33,2,FALSE),G22*(1+Oppslag!$N$105)*1.4)</f>
        <v>0</v>
      </c>
      <c r="I22" s="245"/>
      <c r="J22" s="204">
        <f>IF($C22="Timefør.",($F22*I22)*1.4*VLOOKUP(I$12,Oppslag!$AT$4:$AV$33,2,FALSE),I22*(1+Oppslag!$N$105)*1.4)</f>
        <v>0</v>
      </c>
      <c r="K22" s="245"/>
      <c r="L22" s="204">
        <f>IF($C22="Timefør.",($F22*K22)*1.4*VLOOKUP(K$12,Oppslag!$AT$4:$AV$33,2,FALSE),K22*(1+Oppslag!$N$105)*1.4)</f>
        <v>0</v>
      </c>
      <c r="M22" s="205">
        <f t="shared" si="2"/>
        <v>0</v>
      </c>
      <c r="N22" s="204">
        <f t="shared" si="3"/>
        <v>0</v>
      </c>
      <c r="W22" s="116">
        <f t="shared" si="4"/>
        <v>0</v>
      </c>
      <c r="X22" s="172">
        <f t="shared" si="5"/>
        <v>0</v>
      </c>
    </row>
    <row r="23" spans="1:25" hidden="1" outlineLevel="1" x14ac:dyDescent="0.25">
      <c r="A23" s="263" t="s">
        <v>103</v>
      </c>
      <c r="B23" s="263"/>
      <c r="C23" s="263"/>
      <c r="D23" s="15">
        <f>IF(E23&gt;0,VLOOKUP(E23,Oppslag!$S$14:$W$27,5,FALSE),0)</f>
        <v>0</v>
      </c>
      <c r="E23" s="245">
        <f>IF(B23&lt;&gt;0,IF(C23="Timefør.",VLOOKUP(B23,Oppslag!B:F,5,FALSE),0),0)</f>
        <v>0</v>
      </c>
      <c r="F23" s="203">
        <f>IF(E23&gt;0,VLOOKUP(E23,Oppslag!$S$14:$V$27,2,FALSE),0)</f>
        <v>0</v>
      </c>
      <c r="G23" s="245"/>
      <c r="H23" s="204">
        <f>IF($C23="Timefør.",($F23*G23)*1.4*VLOOKUP(G$12,Oppslag!$AT$4:$AV$33,2,FALSE),G23*(1+Oppslag!$N$105)*1.4)</f>
        <v>0</v>
      </c>
      <c r="I23" s="245"/>
      <c r="J23" s="204">
        <f>IF($C23="Timefør.",($F23*I23)*1.4*VLOOKUP(I$12,Oppslag!$AT$4:$AV$33,2,FALSE),I23*(1+Oppslag!$N$105)*1.4)</f>
        <v>0</v>
      </c>
      <c r="K23" s="245"/>
      <c r="L23" s="204">
        <f>IF($C23="Timefør.",($F23*K23)*1.4*VLOOKUP(K$12,Oppslag!$AT$4:$AV$33,2,FALSE),K23*(1+Oppslag!$N$105)*1.4)</f>
        <v>0</v>
      </c>
      <c r="M23" s="205">
        <f t="shared" si="2"/>
        <v>0</v>
      </c>
      <c r="N23" s="204">
        <f t="shared" si="3"/>
        <v>0</v>
      </c>
      <c r="R23" s="116"/>
      <c r="W23" s="116">
        <f t="shared" si="4"/>
        <v>0</v>
      </c>
      <c r="X23" s="172">
        <f t="shared" si="5"/>
        <v>0</v>
      </c>
    </row>
    <row r="24" spans="1:25" s="172" customFormat="1" collapsed="1" x14ac:dyDescent="0.25">
      <c r="A24" s="176"/>
      <c r="B24" s="176"/>
      <c r="C24" s="176"/>
      <c r="D24" s="176"/>
      <c r="E24" s="177"/>
      <c r="F24" s="177"/>
      <c r="G24" s="158">
        <f t="shared" ref="G24:N24" si="6">SUMIF($C$14:$C$23,"Timefør.",G14:G23)</f>
        <v>0</v>
      </c>
      <c r="H24" s="158">
        <f t="shared" si="6"/>
        <v>0</v>
      </c>
      <c r="I24" s="158">
        <f t="shared" si="6"/>
        <v>0</v>
      </c>
      <c r="J24" s="158">
        <f t="shared" si="6"/>
        <v>0</v>
      </c>
      <c r="K24" s="158">
        <f t="shared" si="6"/>
        <v>0</v>
      </c>
      <c r="L24" s="158">
        <f t="shared" si="6"/>
        <v>0</v>
      </c>
      <c r="M24" s="158">
        <f t="shared" si="6"/>
        <v>0</v>
      </c>
      <c r="N24" s="158">
        <f t="shared" si="6"/>
        <v>0</v>
      </c>
      <c r="O24" s="162"/>
      <c r="P24" s="162"/>
      <c r="R24" s="116"/>
      <c r="X24" s="116"/>
      <c r="Y24" s="162">
        <f>SUM(X14:X23)</f>
        <v>0</v>
      </c>
    </row>
    <row r="25" spans="1:25" s="172" customFormat="1" x14ac:dyDescent="0.25">
      <c r="A25" s="176"/>
      <c r="B25" s="176"/>
      <c r="C25" s="176"/>
      <c r="D25" s="177"/>
      <c r="E25" s="177"/>
      <c r="F25" s="177"/>
      <c r="G25" s="178"/>
      <c r="H25" s="179"/>
      <c r="I25" s="178"/>
      <c r="J25" s="179"/>
      <c r="K25" s="178"/>
      <c r="L25" s="179"/>
      <c r="M25" s="179"/>
      <c r="N25" s="179"/>
      <c r="R25" s="116"/>
      <c r="S25"/>
      <c r="T25"/>
      <c r="U25"/>
      <c r="W25" s="116"/>
    </row>
    <row r="26" spans="1:25" s="172" customFormat="1" ht="19.5" thickBot="1" x14ac:dyDescent="0.35">
      <c r="A26" s="107" t="s">
        <v>321</v>
      </c>
      <c r="B26" s="176"/>
      <c r="C26" s="176"/>
      <c r="D26" s="177"/>
      <c r="E26" s="177"/>
      <c r="F26" s="177"/>
      <c r="G26" s="178"/>
      <c r="H26" s="179"/>
      <c r="I26" s="195"/>
      <c r="J26" s="179"/>
      <c r="K26" s="178"/>
      <c r="L26" s="179"/>
      <c r="M26" s="179"/>
      <c r="N26" s="179"/>
      <c r="R26" s="116"/>
      <c r="S26"/>
      <c r="T26"/>
      <c r="U26"/>
      <c r="W26" s="116"/>
    </row>
    <row r="27" spans="1:25" s="172" customFormat="1" ht="19.5" customHeight="1" thickBot="1" x14ac:dyDescent="0.3">
      <c r="C27" s="301">
        <f>G12</f>
        <v>1900</v>
      </c>
      <c r="D27" s="302"/>
      <c r="E27" s="301">
        <f>I12</f>
        <v>1901</v>
      </c>
      <c r="F27" s="303"/>
      <c r="G27" s="301">
        <f>K12</f>
        <v>1902</v>
      </c>
      <c r="H27" s="302"/>
      <c r="I27" s="256" t="s">
        <v>322</v>
      </c>
      <c r="K27" s="311" t="s">
        <v>428</v>
      </c>
      <c r="L27" s="312"/>
      <c r="M27" s="312"/>
      <c r="N27" s="312"/>
      <c r="O27" s="313"/>
      <c r="R27" s="116"/>
      <c r="S27"/>
      <c r="T27"/>
      <c r="U27"/>
    </row>
    <row r="28" spans="1:25" s="172" customFormat="1" ht="41.25" customHeight="1" x14ac:dyDescent="0.3">
      <c r="A28" s="14" t="s">
        <v>93</v>
      </c>
      <c r="B28" s="197" t="s">
        <v>354</v>
      </c>
      <c r="C28" s="196" t="s">
        <v>309</v>
      </c>
      <c r="D28" s="198" t="s">
        <v>308</v>
      </c>
      <c r="E28" s="207" t="s">
        <v>309</v>
      </c>
      <c r="F28" s="206" t="s">
        <v>308</v>
      </c>
      <c r="G28" s="200" t="s">
        <v>309</v>
      </c>
      <c r="H28" s="198" t="s">
        <v>308</v>
      </c>
      <c r="I28" s="257" t="s">
        <v>91</v>
      </c>
      <c r="J28" s="1"/>
      <c r="K28" s="314"/>
      <c r="L28" s="315"/>
      <c r="M28" s="315"/>
      <c r="N28" s="315"/>
      <c r="O28" s="316"/>
      <c r="P28" s="108"/>
      <c r="Q28" s="108"/>
      <c r="R28" s="116"/>
      <c r="S28"/>
      <c r="T28"/>
      <c r="U28"/>
    </row>
    <row r="29" spans="1:25" ht="15" customHeight="1" thickBot="1" x14ac:dyDescent="0.3">
      <c r="A29" s="245" t="s">
        <v>94</v>
      </c>
      <c r="B29" s="249"/>
      <c r="C29" s="248"/>
      <c r="D29" s="199">
        <f>C29*(1+Oppslag!$N$105)*1.4</f>
        <v>0</v>
      </c>
      <c r="E29" s="245"/>
      <c r="F29" s="208">
        <f>E29*(1+Oppslag!$N$105)*1.4</f>
        <v>0</v>
      </c>
      <c r="G29" s="245"/>
      <c r="H29" s="199">
        <f>G29*(1+Oppslag!$N$105)*1.4</f>
        <v>0</v>
      </c>
      <c r="I29" s="258">
        <f t="shared" ref="I29:I36" si="7">D29+F29+H29</f>
        <v>0</v>
      </c>
      <c r="K29" s="317"/>
      <c r="L29" s="318"/>
      <c r="M29" s="318"/>
      <c r="N29" s="318"/>
      <c r="O29" s="319"/>
      <c r="P29" s="108"/>
      <c r="Q29" s="108"/>
      <c r="R29" s="116"/>
      <c r="S29"/>
      <c r="T29"/>
      <c r="U29"/>
      <c r="V29"/>
    </row>
    <row r="30" spans="1:25" x14ac:dyDescent="0.25">
      <c r="A30" s="245" t="s">
        <v>95</v>
      </c>
      <c r="B30" s="249"/>
      <c r="C30" s="248"/>
      <c r="D30" s="199">
        <f>C30*(1+Oppslag!$N$105)*1.4</f>
        <v>0</v>
      </c>
      <c r="E30" s="245"/>
      <c r="F30" s="208">
        <f>E30*(1+Oppslag!$N$105)*1.4</f>
        <v>0</v>
      </c>
      <c r="G30" s="245"/>
      <c r="H30" s="199">
        <f>G30*(1+Oppslag!$N$105)*1.4</f>
        <v>0</v>
      </c>
      <c r="I30" s="258">
        <f t="shared" si="7"/>
        <v>0</v>
      </c>
      <c r="K30" s="172"/>
      <c r="L30" s="108"/>
      <c r="M30" s="108"/>
      <c r="N30" s="108"/>
      <c r="O30" s="108"/>
      <c r="P30" s="108"/>
      <c r="Q30" s="108"/>
      <c r="R30" s="116"/>
      <c r="S30"/>
      <c r="T30"/>
      <c r="U30"/>
      <c r="V30"/>
    </row>
    <row r="31" spans="1:25" x14ac:dyDescent="0.25">
      <c r="A31" s="245" t="s">
        <v>96</v>
      </c>
      <c r="B31" s="249"/>
      <c r="C31" s="248"/>
      <c r="D31" s="199">
        <f>C31*(1+Oppslag!$N$105)*1.4</f>
        <v>0</v>
      </c>
      <c r="E31" s="245"/>
      <c r="F31" s="208">
        <f>E31*(1+Oppslag!$N$105)*1.4</f>
        <v>0</v>
      </c>
      <c r="G31" s="245"/>
      <c r="H31" s="199">
        <f>G31*(1+Oppslag!$N$105)*1.4</f>
        <v>0</v>
      </c>
      <c r="I31" s="258">
        <f t="shared" si="7"/>
        <v>0</v>
      </c>
      <c r="K31" s="172"/>
      <c r="L31" s="108"/>
      <c r="M31" s="108"/>
      <c r="N31" s="108"/>
      <c r="O31" s="108"/>
      <c r="P31" s="108"/>
      <c r="Q31" s="108"/>
      <c r="R31" s="116"/>
      <c r="S31"/>
      <c r="T31"/>
      <c r="U31"/>
      <c r="V31"/>
    </row>
    <row r="32" spans="1:25" ht="15.75" thickBot="1" x14ac:dyDescent="0.3">
      <c r="A32" s="245" t="s">
        <v>97</v>
      </c>
      <c r="B32" s="249"/>
      <c r="C32" s="248"/>
      <c r="D32" s="199">
        <f>C32*(1+Oppslag!$N$105)*1.4</f>
        <v>0</v>
      </c>
      <c r="E32" s="245"/>
      <c r="F32" s="208">
        <f>E32*(1+Oppslag!$N$105)*1.4</f>
        <v>0</v>
      </c>
      <c r="G32" s="245"/>
      <c r="H32" s="199">
        <f>G32*(1+Oppslag!$N$105)*1.4</f>
        <v>0</v>
      </c>
      <c r="I32" s="258">
        <f t="shared" si="7"/>
        <v>0</v>
      </c>
      <c r="K32" s="172"/>
      <c r="L32" s="172"/>
      <c r="M32" s="172"/>
      <c r="N32" s="172"/>
      <c r="O32" s="172"/>
      <c r="R32" s="116"/>
      <c r="V32"/>
    </row>
    <row r="33" spans="1:29" hidden="1" outlineLevel="1" x14ac:dyDescent="0.25">
      <c r="A33" s="245" t="s">
        <v>98</v>
      </c>
      <c r="B33" s="249"/>
      <c r="C33" s="248"/>
      <c r="D33" s="199">
        <f>C33*(1+Oppslag!$N$105)*1.4</f>
        <v>0</v>
      </c>
      <c r="E33" s="245"/>
      <c r="F33" s="208">
        <f>E33*(1+Oppslag!$N$105)*1.4</f>
        <v>0</v>
      </c>
      <c r="G33" s="245"/>
      <c r="H33" s="199">
        <f>G33*(1+Oppslag!$N$105)*1.4</f>
        <v>0</v>
      </c>
      <c r="I33" s="258">
        <f t="shared" si="7"/>
        <v>0</v>
      </c>
      <c r="K33" s="172"/>
      <c r="L33" s="172"/>
      <c r="M33" s="172"/>
      <c r="N33" s="172"/>
      <c r="O33" s="172"/>
      <c r="R33" s="116"/>
      <c r="V33"/>
    </row>
    <row r="34" spans="1:29" hidden="1" outlineLevel="1" x14ac:dyDescent="0.25">
      <c r="A34" s="245" t="s">
        <v>99</v>
      </c>
      <c r="B34" s="249"/>
      <c r="C34" s="248"/>
      <c r="D34" s="199">
        <f>C34*(1+Oppslag!$N$105)*1.4</f>
        <v>0</v>
      </c>
      <c r="E34" s="245"/>
      <c r="F34" s="208">
        <f>E34*(1+Oppslag!$N$105)*1.4</f>
        <v>0</v>
      </c>
      <c r="G34" s="245"/>
      <c r="H34" s="199">
        <f>G34*(1+Oppslag!$N$105)*1.4</f>
        <v>0</v>
      </c>
      <c r="I34" s="258">
        <f t="shared" si="7"/>
        <v>0</v>
      </c>
      <c r="K34" s="172"/>
      <c r="L34" s="172"/>
      <c r="M34" s="172"/>
      <c r="N34" s="172"/>
      <c r="O34" s="172"/>
      <c r="R34" s="116"/>
      <c r="S34"/>
      <c r="T34"/>
      <c r="U34"/>
      <c r="V34"/>
    </row>
    <row r="35" spans="1:29" hidden="1" outlineLevel="1" x14ac:dyDescent="0.25">
      <c r="A35" s="245" t="s">
        <v>100</v>
      </c>
      <c r="B35" s="249"/>
      <c r="C35" s="248"/>
      <c r="D35" s="199">
        <f>C35*(1+Oppslag!$N$105)*1.4</f>
        <v>0</v>
      </c>
      <c r="E35" s="245"/>
      <c r="F35" s="208">
        <f>E35*(1+Oppslag!$N$105)*1.4</f>
        <v>0</v>
      </c>
      <c r="G35" s="245"/>
      <c r="H35" s="199">
        <f>G35*(1+Oppslag!$N$105)*1.4</f>
        <v>0</v>
      </c>
      <c r="I35" s="258">
        <f t="shared" si="7"/>
        <v>0</v>
      </c>
      <c r="K35" s="172"/>
      <c r="L35" s="172"/>
      <c r="M35" s="172"/>
      <c r="N35" s="172"/>
      <c r="O35" s="172"/>
      <c r="V35"/>
    </row>
    <row r="36" spans="1:29" ht="15.75" hidden="1" outlineLevel="1" thickBot="1" x14ac:dyDescent="0.3">
      <c r="A36" s="245" t="s">
        <v>101</v>
      </c>
      <c r="B36" s="249"/>
      <c r="C36" s="248"/>
      <c r="D36" s="199">
        <f>C36*(1+Oppslag!$N$105)*1.4</f>
        <v>0</v>
      </c>
      <c r="E36" s="245"/>
      <c r="F36" s="208">
        <f>E36*(1+Oppslag!$N$105)*1.4</f>
        <v>0</v>
      </c>
      <c r="G36" s="245"/>
      <c r="H36" s="199">
        <f>G36*(1+Oppslag!$N$105)*1.4</f>
        <v>0</v>
      </c>
      <c r="I36" s="258">
        <f t="shared" si="7"/>
        <v>0</v>
      </c>
      <c r="K36" s="172"/>
      <c r="L36" s="172"/>
      <c r="M36" s="172"/>
      <c r="N36" s="172"/>
      <c r="O36" s="172"/>
      <c r="V36"/>
    </row>
    <row r="37" spans="1:29" s="162" customFormat="1" ht="15.75" collapsed="1" x14ac:dyDescent="0.25">
      <c r="Q37" s="305" t="s">
        <v>141</v>
      </c>
      <c r="R37" s="306"/>
      <c r="S37" s="306"/>
      <c r="T37" s="306"/>
      <c r="U37" s="307"/>
    </row>
    <row r="38" spans="1:29" ht="18.75" x14ac:dyDescent="0.3">
      <c r="Q38" s="214" t="s">
        <v>138</v>
      </c>
      <c r="R38" s="110">
        <f>G12</f>
        <v>1900</v>
      </c>
      <c r="S38" s="110">
        <f>R38+1</f>
        <v>1901</v>
      </c>
      <c r="T38" s="110">
        <f>S38+1</f>
        <v>1902</v>
      </c>
      <c r="U38" s="25" t="s">
        <v>79</v>
      </c>
    </row>
    <row r="39" spans="1:29" ht="19.5" thickBot="1" x14ac:dyDescent="0.35">
      <c r="A39" s="107" t="s">
        <v>324</v>
      </c>
      <c r="H39" s="36"/>
      <c r="Q39" s="17" t="s">
        <v>314</v>
      </c>
      <c r="R39" s="21">
        <f>SUMIF($A$41:$A$72,$Q39,E$41:E$72)</f>
        <v>0</v>
      </c>
      <c r="S39" s="21">
        <f t="shared" ref="S39:T46" si="8">SUMIF($A$41:$A$72,$Q39,F$41:F$72)</f>
        <v>0</v>
      </c>
      <c r="T39" s="21">
        <f t="shared" si="8"/>
        <v>0</v>
      </c>
      <c r="U39" s="23">
        <f t="shared" ref="U39:U47" si="9">SUM(R39:T39)</f>
        <v>0</v>
      </c>
    </row>
    <row r="40" spans="1:29" ht="30.75" customHeight="1" x14ac:dyDescent="0.25">
      <c r="A40" s="322" t="s">
        <v>138</v>
      </c>
      <c r="B40" s="322"/>
      <c r="C40" s="322" t="s">
        <v>139</v>
      </c>
      <c r="D40" s="322"/>
      <c r="E40" s="186">
        <f>G12</f>
        <v>1900</v>
      </c>
      <c r="F40" s="109">
        <f>E40+1</f>
        <v>1901</v>
      </c>
      <c r="G40" s="250">
        <f>F40+1</f>
        <v>1902</v>
      </c>
      <c r="H40" s="253" t="s">
        <v>79</v>
      </c>
      <c r="Q40" s="17" t="s">
        <v>340</v>
      </c>
      <c r="R40" s="21">
        <f t="shared" ref="R40:R46" si="10">SUMIF($A$41:$A$72,$Q40,E$41:E$72)</f>
        <v>0</v>
      </c>
      <c r="S40" s="21">
        <f t="shared" si="8"/>
        <v>0</v>
      </c>
      <c r="T40" s="21">
        <f t="shared" si="8"/>
        <v>0</v>
      </c>
      <c r="U40" s="23">
        <f t="shared" si="9"/>
        <v>0</v>
      </c>
    </row>
    <row r="41" spans="1:29" ht="15.75" x14ac:dyDescent="0.25">
      <c r="A41" s="323" t="s">
        <v>376</v>
      </c>
      <c r="B41" s="323"/>
      <c r="C41" s="324" t="s">
        <v>358</v>
      </c>
      <c r="D41" s="324"/>
      <c r="E41" s="246"/>
      <c r="F41" s="247"/>
      <c r="G41" s="251"/>
      <c r="H41" s="254">
        <f>IF(D6="Videreutdanning",(D8*1.5)*K3*Oppslag!$W$32*Oppslag!$W$39,(D8*1.5)*K4*Oppslag!$W$39)</f>
        <v>0</v>
      </c>
      <c r="I41" s="229">
        <f>H41-SUM(E41:G41)</f>
        <v>0</v>
      </c>
      <c r="J41" s="215" t="str">
        <f>IF(ABS(I41)&lt;1," ","Fordel romkostnad pr. år")</f>
        <v xml:space="preserve"> </v>
      </c>
      <c r="Q41" s="17" t="s">
        <v>376</v>
      </c>
      <c r="R41" s="21">
        <f t="shared" si="10"/>
        <v>0</v>
      </c>
      <c r="S41" s="21">
        <f t="shared" si="8"/>
        <v>0</v>
      </c>
      <c r="T41" s="21">
        <f t="shared" si="8"/>
        <v>0</v>
      </c>
      <c r="U41" s="23">
        <f t="shared" si="9"/>
        <v>0</v>
      </c>
    </row>
    <row r="42" spans="1:29" x14ac:dyDescent="0.25">
      <c r="A42" s="297" t="s">
        <v>314</v>
      </c>
      <c r="B42" s="298"/>
      <c r="C42" s="297"/>
      <c r="D42" s="298"/>
      <c r="E42" s="245"/>
      <c r="F42" s="245"/>
      <c r="G42" s="249"/>
      <c r="H42" s="255">
        <f t="shared" ref="H42:H72" si="11">SUM(E42:G42)</f>
        <v>0</v>
      </c>
      <c r="Q42" s="17" t="s">
        <v>378</v>
      </c>
      <c r="R42" s="21">
        <f t="shared" si="10"/>
        <v>0</v>
      </c>
      <c r="S42" s="21">
        <f t="shared" si="8"/>
        <v>0</v>
      </c>
      <c r="T42" s="21">
        <f t="shared" si="8"/>
        <v>0</v>
      </c>
      <c r="U42" s="23">
        <f t="shared" si="9"/>
        <v>0</v>
      </c>
    </row>
    <row r="43" spans="1:29" s="172" customFormat="1" x14ac:dyDescent="0.25">
      <c r="A43" s="297" t="s">
        <v>340</v>
      </c>
      <c r="B43" s="298"/>
      <c r="C43" s="297"/>
      <c r="D43" s="298"/>
      <c r="E43" s="245"/>
      <c r="F43" s="245"/>
      <c r="G43" s="249"/>
      <c r="H43" s="255">
        <f t="shared" si="11"/>
        <v>0</v>
      </c>
      <c r="Q43" s="17" t="s">
        <v>316</v>
      </c>
      <c r="R43" s="21">
        <f t="shared" si="10"/>
        <v>0</v>
      </c>
      <c r="S43" s="21">
        <f t="shared" si="8"/>
        <v>0</v>
      </c>
      <c r="T43" s="21">
        <f t="shared" si="8"/>
        <v>0</v>
      </c>
      <c r="U43" s="23">
        <f t="shared" si="9"/>
        <v>0</v>
      </c>
      <c r="W43" s="78"/>
      <c r="X43" s="78"/>
      <c r="Y43" s="78"/>
      <c r="Z43" s="78"/>
      <c r="AA43" s="78"/>
      <c r="AB43" s="78"/>
      <c r="AC43" s="78"/>
    </row>
    <row r="44" spans="1:29" x14ac:dyDescent="0.25">
      <c r="A44" s="297" t="s">
        <v>136</v>
      </c>
      <c r="B44" s="298"/>
      <c r="C44" s="325"/>
      <c r="D44" s="326"/>
      <c r="E44" s="245"/>
      <c r="F44" s="245"/>
      <c r="G44" s="249"/>
      <c r="H44" s="255">
        <f t="shared" si="11"/>
        <v>0</v>
      </c>
      <c r="Q44" s="47" t="s">
        <v>317</v>
      </c>
      <c r="R44" s="21">
        <f t="shared" si="10"/>
        <v>0</v>
      </c>
      <c r="S44" s="21">
        <f t="shared" si="8"/>
        <v>0</v>
      </c>
      <c r="T44" s="21">
        <f t="shared" si="8"/>
        <v>0</v>
      </c>
      <c r="U44" s="23">
        <f t="shared" si="9"/>
        <v>0</v>
      </c>
      <c r="W44" s="78"/>
      <c r="X44" s="78"/>
      <c r="Y44" s="78"/>
      <c r="Z44" s="78"/>
      <c r="AA44" s="78"/>
      <c r="AB44" s="78"/>
      <c r="AC44" s="78"/>
    </row>
    <row r="45" spans="1:29" x14ac:dyDescent="0.25">
      <c r="A45" s="297" t="s">
        <v>317</v>
      </c>
      <c r="B45" s="298"/>
      <c r="C45" s="297"/>
      <c r="D45" s="298"/>
      <c r="E45" s="245"/>
      <c r="F45" s="245"/>
      <c r="G45" s="249"/>
      <c r="H45" s="255">
        <f t="shared" si="11"/>
        <v>0</v>
      </c>
      <c r="Q45" s="17" t="s">
        <v>150</v>
      </c>
      <c r="R45" s="21">
        <f t="shared" si="10"/>
        <v>0</v>
      </c>
      <c r="S45" s="21">
        <f t="shared" si="8"/>
        <v>0</v>
      </c>
      <c r="T45" s="21">
        <f t="shared" si="8"/>
        <v>0</v>
      </c>
      <c r="U45" s="23">
        <f t="shared" si="9"/>
        <v>0</v>
      </c>
      <c r="W45" s="78"/>
      <c r="X45" s="78"/>
      <c r="Y45" s="78"/>
      <c r="Z45" s="78"/>
      <c r="AA45" s="78"/>
      <c r="AB45" s="78"/>
      <c r="AC45" s="78"/>
    </row>
    <row r="46" spans="1:29" x14ac:dyDescent="0.25">
      <c r="A46" s="297" t="s">
        <v>150</v>
      </c>
      <c r="B46" s="298"/>
      <c r="C46" s="297"/>
      <c r="D46" s="298"/>
      <c r="E46" s="245"/>
      <c r="F46" s="245"/>
      <c r="G46" s="249"/>
      <c r="H46" s="255">
        <f t="shared" si="11"/>
        <v>0</v>
      </c>
      <c r="Q46" s="17" t="s">
        <v>136</v>
      </c>
      <c r="R46" s="21">
        <f t="shared" si="10"/>
        <v>0</v>
      </c>
      <c r="S46" s="21">
        <f t="shared" si="8"/>
        <v>0</v>
      </c>
      <c r="T46" s="21">
        <f t="shared" si="8"/>
        <v>0</v>
      </c>
      <c r="U46" s="23">
        <f t="shared" si="9"/>
        <v>0</v>
      </c>
      <c r="W46" s="308"/>
      <c r="X46" s="308"/>
      <c r="Y46" s="304"/>
      <c r="Z46" s="304"/>
      <c r="AA46" s="304"/>
      <c r="AB46" s="304"/>
      <c r="AC46" s="78"/>
    </row>
    <row r="47" spans="1:29" ht="15.75" customHeight="1" thickBot="1" x14ac:dyDescent="0.3">
      <c r="A47" s="297" t="s">
        <v>378</v>
      </c>
      <c r="B47" s="298"/>
      <c r="C47" s="297"/>
      <c r="D47" s="298"/>
      <c r="E47" s="245"/>
      <c r="F47" s="245"/>
      <c r="G47" s="249"/>
      <c r="H47" s="255">
        <f t="shared" si="11"/>
        <v>0</v>
      </c>
      <c r="I47" s="215" t="str">
        <f>IF(H47&lt;&gt;0,IF(H41&gt;0,"Skal det være både ekstern og intern husleie?",0),"")</f>
        <v/>
      </c>
      <c r="Q47" s="81" t="s">
        <v>91</v>
      </c>
      <c r="R47" s="22">
        <f>SUM(R39:R46)</f>
        <v>0</v>
      </c>
      <c r="S47" s="22">
        <f>SUM(S39:S46)</f>
        <v>0</v>
      </c>
      <c r="T47" s="22">
        <f>SUM(T39:T46)</f>
        <v>0</v>
      </c>
      <c r="U47" s="24">
        <f t="shared" si="9"/>
        <v>0</v>
      </c>
      <c r="W47" s="211"/>
      <c r="X47" s="211"/>
      <c r="Y47" s="211"/>
      <c r="Z47" s="211"/>
      <c r="AA47" s="211"/>
      <c r="AB47" s="211"/>
      <c r="AC47" s="78"/>
    </row>
    <row r="48" spans="1:29" x14ac:dyDescent="0.25">
      <c r="A48" s="297" t="s">
        <v>136</v>
      </c>
      <c r="B48" s="298"/>
      <c r="C48" s="297"/>
      <c r="D48" s="298"/>
      <c r="E48" s="245"/>
      <c r="F48" s="245"/>
      <c r="G48" s="249"/>
      <c r="H48" s="255">
        <f t="shared" si="11"/>
        <v>0</v>
      </c>
      <c r="W48" s="179"/>
      <c r="X48" s="179"/>
      <c r="Y48" s="179"/>
      <c r="Z48" s="179"/>
      <c r="AA48" s="179"/>
      <c r="AB48" s="179"/>
      <c r="AC48" s="78"/>
    </row>
    <row r="49" spans="1:29" ht="15" customHeight="1" x14ac:dyDescent="0.25">
      <c r="A49" s="297" t="s">
        <v>316</v>
      </c>
      <c r="B49" s="298"/>
      <c r="C49" s="297"/>
      <c r="D49" s="298"/>
      <c r="E49" s="245"/>
      <c r="F49" s="245"/>
      <c r="G49" s="249"/>
      <c r="H49" s="255">
        <f t="shared" si="11"/>
        <v>0</v>
      </c>
      <c r="W49" s="179"/>
      <c r="X49" s="179"/>
      <c r="Y49" s="179"/>
      <c r="Z49" s="179"/>
      <c r="AA49" s="179"/>
      <c r="AB49" s="179"/>
      <c r="AC49" s="78"/>
    </row>
    <row r="50" spans="1:29" hidden="1" outlineLevel="1" x14ac:dyDescent="0.25">
      <c r="A50" s="297"/>
      <c r="B50" s="298"/>
      <c r="C50" s="297"/>
      <c r="D50" s="298"/>
      <c r="E50" s="245"/>
      <c r="F50" s="245"/>
      <c r="G50" s="249"/>
      <c r="H50" s="255">
        <f t="shared" si="11"/>
        <v>0</v>
      </c>
      <c r="W50" s="179"/>
      <c r="X50" s="179"/>
      <c r="Y50" s="179"/>
      <c r="Z50" s="179"/>
      <c r="AA50" s="179"/>
      <c r="AB50" s="179"/>
      <c r="AC50" s="78"/>
    </row>
    <row r="51" spans="1:29" hidden="1" outlineLevel="1" x14ac:dyDescent="0.25">
      <c r="A51" s="297"/>
      <c r="B51" s="298"/>
      <c r="C51" s="297"/>
      <c r="D51" s="298"/>
      <c r="E51" s="245"/>
      <c r="F51" s="245"/>
      <c r="G51" s="249"/>
      <c r="H51" s="255">
        <f t="shared" si="11"/>
        <v>0</v>
      </c>
      <c r="W51" s="179"/>
      <c r="X51" s="179"/>
      <c r="Y51" s="179"/>
      <c r="Z51" s="179"/>
      <c r="AA51" s="179"/>
      <c r="AB51" s="179"/>
      <c r="AC51" s="78"/>
    </row>
    <row r="52" spans="1:29" hidden="1" outlineLevel="1" x14ac:dyDescent="0.25">
      <c r="A52" s="297"/>
      <c r="B52" s="298"/>
      <c r="C52" s="297"/>
      <c r="D52" s="298"/>
      <c r="E52" s="245"/>
      <c r="F52" s="245"/>
      <c r="G52" s="249"/>
      <c r="H52" s="255">
        <f t="shared" si="11"/>
        <v>0</v>
      </c>
      <c r="W52" s="179"/>
      <c r="X52" s="179"/>
      <c r="Y52" s="179"/>
      <c r="Z52" s="179"/>
      <c r="AA52" s="179"/>
      <c r="AB52" s="179"/>
      <c r="AC52" s="78"/>
    </row>
    <row r="53" spans="1:29" hidden="1" outlineLevel="1" x14ac:dyDescent="0.25">
      <c r="A53" s="297"/>
      <c r="B53" s="298"/>
      <c r="C53" s="297"/>
      <c r="D53" s="298"/>
      <c r="E53" s="245"/>
      <c r="F53" s="245"/>
      <c r="G53" s="249"/>
      <c r="H53" s="255">
        <f t="shared" si="11"/>
        <v>0</v>
      </c>
      <c r="W53" s="179"/>
      <c r="X53" s="179"/>
      <c r="Y53" s="179"/>
      <c r="Z53" s="179"/>
      <c r="AA53" s="179"/>
      <c r="AB53" s="179"/>
      <c r="AC53" s="78"/>
    </row>
    <row r="54" spans="1:29" hidden="1" outlineLevel="1" x14ac:dyDescent="0.25">
      <c r="A54" s="297"/>
      <c r="B54" s="298"/>
      <c r="C54" s="297"/>
      <c r="D54" s="298"/>
      <c r="E54" s="245"/>
      <c r="F54" s="245"/>
      <c r="G54" s="249"/>
      <c r="H54" s="255">
        <f t="shared" si="11"/>
        <v>0</v>
      </c>
      <c r="W54" s="179"/>
      <c r="X54" s="179"/>
      <c r="Y54" s="179"/>
      <c r="Z54" s="179"/>
      <c r="AA54" s="179"/>
      <c r="AB54" s="179"/>
      <c r="AC54" s="78"/>
    </row>
    <row r="55" spans="1:29" hidden="1" outlineLevel="1" x14ac:dyDescent="0.25">
      <c r="A55" s="297"/>
      <c r="B55" s="298"/>
      <c r="C55" s="297"/>
      <c r="D55" s="298"/>
      <c r="E55" s="245"/>
      <c r="F55" s="245"/>
      <c r="G55" s="249"/>
      <c r="H55" s="255">
        <f t="shared" si="11"/>
        <v>0</v>
      </c>
      <c r="W55" s="179"/>
      <c r="X55" s="179"/>
      <c r="Y55" s="179"/>
      <c r="Z55" s="179"/>
      <c r="AA55" s="179"/>
      <c r="AB55" s="179"/>
      <c r="AC55" s="78"/>
    </row>
    <row r="56" spans="1:29" hidden="1" outlineLevel="1" x14ac:dyDescent="0.25">
      <c r="A56" s="297"/>
      <c r="B56" s="298"/>
      <c r="C56" s="297"/>
      <c r="D56" s="298"/>
      <c r="E56" s="245"/>
      <c r="F56" s="245"/>
      <c r="G56" s="249"/>
      <c r="H56" s="255">
        <f t="shared" si="11"/>
        <v>0</v>
      </c>
      <c r="W56" s="179"/>
      <c r="X56" s="179"/>
      <c r="Y56" s="179"/>
      <c r="Z56" s="179"/>
      <c r="AA56" s="179"/>
      <c r="AB56" s="179"/>
      <c r="AC56" s="78"/>
    </row>
    <row r="57" spans="1:29" hidden="1" outlineLevel="1" x14ac:dyDescent="0.25">
      <c r="A57" s="297"/>
      <c r="B57" s="298"/>
      <c r="C57" s="297"/>
      <c r="D57" s="298"/>
      <c r="E57" s="245"/>
      <c r="F57" s="245"/>
      <c r="G57" s="249"/>
      <c r="H57" s="255">
        <f t="shared" si="11"/>
        <v>0</v>
      </c>
      <c r="W57" s="179"/>
      <c r="X57" s="179"/>
      <c r="Y57" s="179"/>
      <c r="Z57" s="179"/>
      <c r="AA57" s="179"/>
      <c r="AB57" s="179"/>
      <c r="AC57" s="78"/>
    </row>
    <row r="58" spans="1:29" hidden="1" outlineLevel="1" x14ac:dyDescent="0.25">
      <c r="A58" s="297"/>
      <c r="B58" s="298"/>
      <c r="C58" s="297"/>
      <c r="D58" s="298"/>
      <c r="E58" s="245"/>
      <c r="F58" s="245"/>
      <c r="G58" s="249"/>
      <c r="H58" s="255">
        <f t="shared" si="11"/>
        <v>0</v>
      </c>
      <c r="W58" s="179"/>
      <c r="X58" s="179"/>
      <c r="Y58" s="179"/>
      <c r="Z58" s="179"/>
      <c r="AA58" s="179"/>
      <c r="AB58" s="179"/>
      <c r="AC58" s="78"/>
    </row>
    <row r="59" spans="1:29" hidden="1" outlineLevel="1" x14ac:dyDescent="0.25">
      <c r="A59" s="297"/>
      <c r="B59" s="298"/>
      <c r="C59" s="297"/>
      <c r="D59" s="298"/>
      <c r="E59" s="245"/>
      <c r="F59" s="245"/>
      <c r="G59" s="249"/>
      <c r="H59" s="255">
        <f t="shared" si="11"/>
        <v>0</v>
      </c>
      <c r="W59" s="179"/>
      <c r="X59" s="179"/>
      <c r="Y59" s="179"/>
      <c r="Z59" s="179"/>
      <c r="AA59" s="179"/>
      <c r="AB59" s="179"/>
      <c r="AC59" s="78"/>
    </row>
    <row r="60" spans="1:29" hidden="1" outlineLevel="1" x14ac:dyDescent="0.25">
      <c r="A60" s="297"/>
      <c r="B60" s="298"/>
      <c r="C60" s="297"/>
      <c r="D60" s="298"/>
      <c r="E60" s="245"/>
      <c r="F60" s="245"/>
      <c r="G60" s="249"/>
      <c r="H60" s="255">
        <f t="shared" si="11"/>
        <v>0</v>
      </c>
      <c r="W60" s="179"/>
      <c r="X60" s="179"/>
      <c r="Y60" s="179"/>
      <c r="Z60" s="179"/>
      <c r="AA60" s="179"/>
      <c r="AB60" s="179"/>
      <c r="AC60" s="78"/>
    </row>
    <row r="61" spans="1:29" ht="15" hidden="1" customHeight="1" outlineLevel="1" x14ac:dyDescent="0.25">
      <c r="A61" s="297"/>
      <c r="B61" s="298"/>
      <c r="C61" s="297"/>
      <c r="D61" s="298"/>
      <c r="E61" s="245"/>
      <c r="F61" s="245"/>
      <c r="G61" s="249"/>
      <c r="H61" s="255">
        <f t="shared" si="11"/>
        <v>0</v>
      </c>
      <c r="W61" s="308"/>
      <c r="X61" s="308"/>
      <c r="Y61" s="304"/>
      <c r="Z61" s="304"/>
      <c r="AA61" s="304"/>
      <c r="AB61" s="304"/>
      <c r="AC61" s="78"/>
    </row>
    <row r="62" spans="1:29" ht="13.5" hidden="1" customHeight="1" outlineLevel="1" x14ac:dyDescent="0.25">
      <c r="A62" s="297"/>
      <c r="B62" s="298"/>
      <c r="C62" s="297"/>
      <c r="D62" s="298"/>
      <c r="E62" s="245"/>
      <c r="F62" s="245"/>
      <c r="G62" s="249"/>
      <c r="H62" s="255">
        <f t="shared" si="11"/>
        <v>0</v>
      </c>
      <c r="W62" s="211"/>
      <c r="X62" s="211"/>
      <c r="Y62" s="211"/>
      <c r="Z62" s="211"/>
      <c r="AA62" s="211"/>
      <c r="AB62" s="211"/>
      <c r="AC62" s="78"/>
    </row>
    <row r="63" spans="1:29" hidden="1" outlineLevel="1" x14ac:dyDescent="0.25">
      <c r="A63" s="297"/>
      <c r="B63" s="298"/>
      <c r="C63" s="297"/>
      <c r="D63" s="298"/>
      <c r="E63" s="245"/>
      <c r="F63" s="245"/>
      <c r="G63" s="249"/>
      <c r="H63" s="255">
        <f t="shared" si="11"/>
        <v>0</v>
      </c>
      <c r="W63" s="179"/>
      <c r="X63" s="179"/>
      <c r="Y63" s="179"/>
      <c r="Z63" s="179"/>
      <c r="AA63" s="179"/>
      <c r="AB63" s="179"/>
      <c r="AC63" s="78"/>
    </row>
    <row r="64" spans="1:29" hidden="1" outlineLevel="1" x14ac:dyDescent="0.25">
      <c r="A64" s="297"/>
      <c r="B64" s="298"/>
      <c r="C64" s="297"/>
      <c r="D64" s="298"/>
      <c r="E64" s="245"/>
      <c r="F64" s="245"/>
      <c r="G64" s="249"/>
      <c r="H64" s="255">
        <f t="shared" si="11"/>
        <v>0</v>
      </c>
      <c r="W64" s="179"/>
      <c r="X64" s="179"/>
      <c r="Y64" s="179"/>
      <c r="Z64" s="179"/>
      <c r="AA64" s="179"/>
      <c r="AB64" s="179"/>
      <c r="AC64" s="78"/>
    </row>
    <row r="65" spans="1:29" hidden="1" outlineLevel="1" x14ac:dyDescent="0.25">
      <c r="A65" s="297"/>
      <c r="B65" s="298"/>
      <c r="C65" s="297"/>
      <c r="D65" s="298"/>
      <c r="E65" s="245"/>
      <c r="F65" s="245"/>
      <c r="G65" s="249"/>
      <c r="H65" s="255">
        <f t="shared" si="11"/>
        <v>0</v>
      </c>
      <c r="W65" s="179"/>
      <c r="X65" s="179"/>
      <c r="Y65" s="179"/>
      <c r="Z65" s="179"/>
      <c r="AA65" s="179"/>
      <c r="AB65" s="179"/>
      <c r="AC65" s="78"/>
    </row>
    <row r="66" spans="1:29" hidden="1" outlineLevel="1" x14ac:dyDescent="0.25">
      <c r="A66" s="297"/>
      <c r="B66" s="298"/>
      <c r="C66" s="297"/>
      <c r="D66" s="298"/>
      <c r="E66" s="245"/>
      <c r="F66" s="245"/>
      <c r="G66" s="249"/>
      <c r="H66" s="255">
        <f t="shared" si="11"/>
        <v>0</v>
      </c>
      <c r="W66" s="179"/>
      <c r="X66" s="179"/>
      <c r="Y66" s="179"/>
      <c r="Z66" s="179"/>
      <c r="AA66" s="179"/>
      <c r="AB66" s="179"/>
      <c r="AC66" s="78"/>
    </row>
    <row r="67" spans="1:29" hidden="1" outlineLevel="1" x14ac:dyDescent="0.25">
      <c r="A67" s="297"/>
      <c r="B67" s="298"/>
      <c r="C67" s="297"/>
      <c r="D67" s="298"/>
      <c r="E67" s="245"/>
      <c r="F67" s="245"/>
      <c r="G67" s="249"/>
      <c r="H67" s="255">
        <f t="shared" si="11"/>
        <v>0</v>
      </c>
      <c r="W67" s="179"/>
      <c r="X67" s="179"/>
      <c r="Y67" s="179"/>
      <c r="Z67" s="179"/>
      <c r="AA67" s="179"/>
      <c r="AB67" s="179"/>
      <c r="AC67" s="78"/>
    </row>
    <row r="68" spans="1:29" hidden="1" outlineLevel="1" x14ac:dyDescent="0.25">
      <c r="A68" s="297"/>
      <c r="B68" s="298"/>
      <c r="C68" s="297"/>
      <c r="D68" s="298"/>
      <c r="E68" s="245"/>
      <c r="F68" s="245"/>
      <c r="G68" s="249"/>
      <c r="H68" s="255">
        <f t="shared" si="11"/>
        <v>0</v>
      </c>
      <c r="W68" s="179"/>
      <c r="X68" s="179"/>
      <c r="Y68" s="179"/>
      <c r="Z68" s="179"/>
      <c r="AA68" s="179"/>
      <c r="AB68" s="179"/>
      <c r="AC68" s="78"/>
    </row>
    <row r="69" spans="1:29" hidden="1" outlineLevel="1" x14ac:dyDescent="0.25">
      <c r="A69" s="297"/>
      <c r="B69" s="298"/>
      <c r="C69" s="297"/>
      <c r="D69" s="298"/>
      <c r="E69" s="245"/>
      <c r="F69" s="245"/>
      <c r="G69" s="249"/>
      <c r="H69" s="255">
        <f t="shared" si="11"/>
        <v>0</v>
      </c>
      <c r="W69" s="179"/>
      <c r="X69" s="179"/>
      <c r="Y69" s="179"/>
      <c r="Z69" s="179"/>
      <c r="AA69" s="179"/>
      <c r="AB69" s="179"/>
      <c r="AC69" s="78"/>
    </row>
    <row r="70" spans="1:29" hidden="1" outlineLevel="1" x14ac:dyDescent="0.25">
      <c r="A70" s="297"/>
      <c r="B70" s="298"/>
      <c r="C70" s="297"/>
      <c r="D70" s="298"/>
      <c r="E70" s="245"/>
      <c r="F70" s="245"/>
      <c r="G70" s="249"/>
      <c r="H70" s="255">
        <f t="shared" si="11"/>
        <v>0</v>
      </c>
      <c r="W70" s="179"/>
      <c r="X70" s="179"/>
      <c r="Y70" s="179"/>
      <c r="Z70" s="179"/>
      <c r="AA70" s="179"/>
      <c r="AB70" s="179"/>
      <c r="AC70" s="78"/>
    </row>
    <row r="71" spans="1:29" hidden="1" outlineLevel="1" x14ac:dyDescent="0.25">
      <c r="A71" s="297"/>
      <c r="B71" s="298"/>
      <c r="C71" s="297"/>
      <c r="D71" s="298"/>
      <c r="E71" s="245"/>
      <c r="F71" s="245"/>
      <c r="G71" s="249"/>
      <c r="H71" s="255">
        <f t="shared" si="11"/>
        <v>0</v>
      </c>
      <c r="W71" s="212"/>
      <c r="X71" s="212"/>
      <c r="Y71" s="212"/>
      <c r="Z71" s="212"/>
      <c r="AA71" s="212"/>
      <c r="AB71" s="212"/>
      <c r="AC71" s="78"/>
    </row>
    <row r="72" spans="1:29" hidden="1" outlineLevel="1" x14ac:dyDescent="0.25">
      <c r="A72" s="297"/>
      <c r="B72" s="298"/>
      <c r="C72" s="297"/>
      <c r="D72" s="298"/>
      <c r="E72" s="245"/>
      <c r="F72" s="245"/>
      <c r="G72" s="249"/>
      <c r="H72" s="255">
        <f t="shared" si="11"/>
        <v>0</v>
      </c>
      <c r="Q72"/>
      <c r="W72" s="78"/>
      <c r="X72" s="78"/>
      <c r="Y72" s="78"/>
      <c r="Z72" s="78"/>
      <c r="AA72" s="78"/>
      <c r="AB72" s="78"/>
      <c r="AC72" s="78"/>
    </row>
    <row r="73" spans="1:29" collapsed="1" x14ac:dyDescent="0.25">
      <c r="A73" s="320" t="s">
        <v>140</v>
      </c>
      <c r="B73" s="321"/>
      <c r="C73" s="188"/>
      <c r="D73" s="189"/>
      <c r="E73" s="187">
        <f>SUM(E41:E72)</f>
        <v>0</v>
      </c>
      <c r="F73" s="187">
        <f>SUM(F41:F72)</f>
        <v>0</v>
      </c>
      <c r="G73" s="252">
        <f>SUM(G41:G72)</f>
        <v>0</v>
      </c>
      <c r="H73" s="255">
        <f>SUM(H41:H72)</f>
        <v>0</v>
      </c>
      <c r="P73"/>
      <c r="W73" s="78"/>
      <c r="X73" s="78"/>
      <c r="Y73" s="78"/>
      <c r="Z73" s="78"/>
      <c r="AA73" s="78"/>
      <c r="AB73" s="78"/>
      <c r="AC73" s="78"/>
    </row>
    <row r="74" spans="1:29" x14ac:dyDescent="0.25">
      <c r="C74" s="1"/>
      <c r="D74" s="1"/>
      <c r="W74" s="78"/>
      <c r="X74" s="78"/>
      <c r="Y74" s="78"/>
      <c r="Z74" s="78"/>
      <c r="AA74" s="78"/>
      <c r="AB74" s="78"/>
      <c r="AC74" s="78"/>
    </row>
    <row r="75" spans="1:29" x14ac:dyDescent="0.25">
      <c r="W75" s="78"/>
      <c r="X75" s="78"/>
      <c r="Y75" s="78"/>
      <c r="Z75" s="78"/>
      <c r="AA75" s="78"/>
      <c r="AB75" s="78"/>
      <c r="AC75" s="78"/>
    </row>
    <row r="76" spans="1:29" x14ac:dyDescent="0.25">
      <c r="W76" s="78"/>
      <c r="X76" s="78"/>
      <c r="Y76" s="78"/>
      <c r="Z76" s="78"/>
      <c r="AA76" s="78"/>
      <c r="AB76" s="78"/>
      <c r="AC76" s="78"/>
    </row>
    <row r="77" spans="1:29" x14ac:dyDescent="0.25">
      <c r="W77" s="78"/>
      <c r="X77" s="78"/>
      <c r="Y77" s="78"/>
      <c r="Z77" s="78"/>
      <c r="AA77" s="78"/>
      <c r="AB77" s="78"/>
      <c r="AC77" s="78"/>
    </row>
    <row r="78" spans="1:29" x14ac:dyDescent="0.25">
      <c r="W78" s="78"/>
      <c r="X78" s="78"/>
      <c r="Y78" s="78"/>
      <c r="Z78" s="78"/>
      <c r="AA78" s="78"/>
      <c r="AB78" s="78"/>
      <c r="AC78" s="78"/>
    </row>
    <row r="79" spans="1:29" x14ac:dyDescent="0.25">
      <c r="W79" s="78"/>
      <c r="X79" s="78"/>
      <c r="Y79" s="78"/>
      <c r="Z79" s="78"/>
      <c r="AA79" s="78"/>
      <c r="AB79" s="78"/>
      <c r="AC79" s="78"/>
    </row>
    <row r="80" spans="1:29" x14ac:dyDescent="0.25">
      <c r="W80" s="78"/>
      <c r="X80" s="78"/>
      <c r="Y80" s="78"/>
      <c r="Z80" s="78"/>
      <c r="AA80" s="78"/>
      <c r="AB80" s="78"/>
      <c r="AC80" s="78"/>
    </row>
    <row r="81" spans="23:29" x14ac:dyDescent="0.25">
      <c r="W81" s="78"/>
      <c r="X81" s="78"/>
      <c r="Y81" s="78"/>
      <c r="Z81" s="78"/>
      <c r="AA81" s="78"/>
      <c r="AB81" s="78"/>
      <c r="AC81" s="78"/>
    </row>
  </sheetData>
  <dataConsolidate/>
  <mergeCells count="85">
    <mergeCell ref="A71:B71"/>
    <mergeCell ref="C71:D71"/>
    <mergeCell ref="A72:B72"/>
    <mergeCell ref="C72:D72"/>
    <mergeCell ref="C40:D40"/>
    <mergeCell ref="A68:B68"/>
    <mergeCell ref="C68:D68"/>
    <mergeCell ref="A69:B69"/>
    <mergeCell ref="C69:D69"/>
    <mergeCell ref="A70:B70"/>
    <mergeCell ref="C70:D70"/>
    <mergeCell ref="A65:B65"/>
    <mergeCell ref="C65:D65"/>
    <mergeCell ref="A66:B66"/>
    <mergeCell ref="C66:D66"/>
    <mergeCell ref="A67:B67"/>
    <mergeCell ref="A60:B60"/>
    <mergeCell ref="C60:D60"/>
    <mergeCell ref="A61:B61"/>
    <mergeCell ref="C61:D61"/>
    <mergeCell ref="C67:D67"/>
    <mergeCell ref="A62:B62"/>
    <mergeCell ref="C62:D62"/>
    <mergeCell ref="A63:B63"/>
    <mergeCell ref="C63:D63"/>
    <mergeCell ref="A64:B64"/>
    <mergeCell ref="C64:D64"/>
    <mergeCell ref="A57:B57"/>
    <mergeCell ref="C57:D57"/>
    <mergeCell ref="A58:B58"/>
    <mergeCell ref="C58:D58"/>
    <mergeCell ref="A59:B59"/>
    <mergeCell ref="C59:D59"/>
    <mergeCell ref="A55:B55"/>
    <mergeCell ref="C55:D55"/>
    <mergeCell ref="A53:B53"/>
    <mergeCell ref="A56:B56"/>
    <mergeCell ref="C56:D56"/>
    <mergeCell ref="A73:B73"/>
    <mergeCell ref="A40:B40"/>
    <mergeCell ref="A41:B41"/>
    <mergeCell ref="C41:D41"/>
    <mergeCell ref="A42:B42"/>
    <mergeCell ref="C42:D42"/>
    <mergeCell ref="A43:B43"/>
    <mergeCell ref="C43:D43"/>
    <mergeCell ref="A44:B44"/>
    <mergeCell ref="C44:D44"/>
    <mergeCell ref="A45:B45"/>
    <mergeCell ref="C45:D45"/>
    <mergeCell ref="A46:B46"/>
    <mergeCell ref="C53:D53"/>
    <mergeCell ref="A54:B54"/>
    <mergeCell ref="C54:D54"/>
    <mergeCell ref="AA61:AB61"/>
    <mergeCell ref="M12:N12"/>
    <mergeCell ref="W46:X46"/>
    <mergeCell ref="Y46:Z46"/>
    <mergeCell ref="K27:O29"/>
    <mergeCell ref="I12:J12"/>
    <mergeCell ref="K12:L12"/>
    <mergeCell ref="Q37:U37"/>
    <mergeCell ref="W61:X61"/>
    <mergeCell ref="Y61:Z61"/>
    <mergeCell ref="C49:D49"/>
    <mergeCell ref="C46:D46"/>
    <mergeCell ref="A47:B47"/>
    <mergeCell ref="C47:D47"/>
    <mergeCell ref="AA46:AB46"/>
    <mergeCell ref="K1:L1"/>
    <mergeCell ref="D1:E1"/>
    <mergeCell ref="D2:E2"/>
    <mergeCell ref="A52:B52"/>
    <mergeCell ref="C52:D52"/>
    <mergeCell ref="G12:H12"/>
    <mergeCell ref="C27:D27"/>
    <mergeCell ref="E27:F27"/>
    <mergeCell ref="G27:H27"/>
    <mergeCell ref="A50:B50"/>
    <mergeCell ref="C50:D50"/>
    <mergeCell ref="A51:B51"/>
    <mergeCell ref="C51:D51"/>
    <mergeCell ref="A48:B48"/>
    <mergeCell ref="C48:D48"/>
    <mergeCell ref="A49:B49"/>
  </mergeCells>
  <conditionalFormatting sqref="G4:L4">
    <cfRule type="expression" dxfId="10" priority="22">
      <formula>$D$6="Videreutdanning"</formula>
    </cfRule>
  </conditionalFormatting>
  <conditionalFormatting sqref="G1:L3 G8:L9">
    <cfRule type="expression" dxfId="9" priority="5">
      <formula>$D$6="Etterutdanning"</formula>
    </cfRule>
  </conditionalFormatting>
  <conditionalFormatting sqref="I41">
    <cfRule type="cellIs" dxfId="8" priority="3" operator="between">
      <formula>-1</formula>
      <formula>1</formula>
    </cfRule>
    <cfRule type="expression" dxfId="7" priority="4">
      <formula>"abs($I$41)&lt;1"</formula>
    </cfRule>
  </conditionalFormatting>
  <conditionalFormatting sqref="G12:L12 C27:H27 E40:G40">
    <cfRule type="expression" dxfId="6" priority="2">
      <formula>$D$3=""</formula>
    </cfRule>
  </conditionalFormatting>
  <dataValidations count="12">
    <dataValidation type="list" allowBlank="1" showInputMessage="1" showErrorMessage="1" sqref="B14:B26 C24" xr:uid="{00000000-0002-0000-0100-000000000000}">
      <formula1>Stilling</formula1>
    </dataValidation>
    <dataValidation type="list" allowBlank="1" showInputMessage="1" showErrorMessage="1" sqref="K8" xr:uid="{00000000-0002-0000-0100-000001000000}">
      <formula1>Fin.kat</formula1>
    </dataValidation>
    <dataValidation type="list" allowBlank="1" showInputMessage="1" showErrorMessage="1" sqref="K1" xr:uid="{00000000-0002-0000-0100-000002000000}">
      <formula1>Aktivitet</formula1>
    </dataValidation>
    <dataValidation type="list" allowBlank="1" showInputMessage="1" showErrorMessage="1" sqref="A42:A72" xr:uid="{00000000-0002-0000-0100-000003000000}">
      <formula1>Drift</formula1>
    </dataValidation>
    <dataValidation type="list" allowBlank="1" showInputMessage="1" showErrorMessage="1" sqref="D25:D26 E14:E24" xr:uid="{00000000-0002-0000-0100-000004000000}">
      <formula1>Priskategori</formula1>
    </dataValidation>
    <dataValidation type="list" allowBlank="1" showInputMessage="1" showErrorMessage="1" sqref="C14:C23" xr:uid="{00000000-0002-0000-0100-000005000000}">
      <formula1>"Timefør.,Ompost."</formula1>
    </dataValidation>
    <dataValidation type="list" allowBlank="1" showInputMessage="1" showErrorMessage="1" sqref="B29:B36" xr:uid="{00000000-0002-0000-0100-000006000000}">
      <formula1>"NTNU-ansatt,Ekstern"</formula1>
    </dataValidation>
    <dataValidation type="list" allowBlank="1" showInputMessage="1" showErrorMessage="1" sqref="K9" xr:uid="{00000000-0002-0000-0100-000007000000}">
      <formula1>"a,b,c,d"</formula1>
    </dataValidation>
    <dataValidation type="list" allowBlank="1" showInputMessage="1" showErrorMessage="1" sqref="A41:B41" xr:uid="{00000000-0002-0000-0100-000008000000}">
      <formula1>"Leiested - undervisningsrom NTNU"</formula1>
    </dataValidation>
    <dataValidation type="list" allowBlank="1" showInputMessage="1" showErrorMessage="1" sqref="D6" xr:uid="{00000000-0002-0000-0100-000009000000}">
      <formula1>Type</formula1>
    </dataValidation>
    <dataValidation type="date" operator="lessThanOrEqual" allowBlank="1" showInputMessage="1" showErrorMessage="1" error="Modellen bygger på at aktiviteten er avsluttet innen utløpet av år 3. Sluttdato må derfor være 31.12.2024 eller tidligere" sqref="D4" xr:uid="{00000000-0002-0000-0100-00000A000000}">
      <formula1>45657</formula1>
    </dataValidation>
    <dataValidation type="date" operator="greaterThan" allowBlank="1" showInputMessage="1" showErrorMessage="1" sqref="D3" xr:uid="{FD6F8A0B-AB7C-4209-AF42-85B67AA90B55}">
      <formula1>44561</formula1>
    </dataValidation>
  </dataValidations>
  <pageMargins left="0.7" right="0.7" top="0.75" bottom="0.75" header="0.3" footer="0.3"/>
  <pageSetup paperSize="9" orientation="portrait"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Ark6"/>
  <dimension ref="A1:O56"/>
  <sheetViews>
    <sheetView zoomScale="90" zoomScaleNormal="90" workbookViewId="0">
      <selection activeCell="B14" sqref="B14"/>
    </sheetView>
  </sheetViews>
  <sheetFormatPr defaultColWidth="11.42578125" defaultRowHeight="15" x14ac:dyDescent="0.25"/>
  <cols>
    <col min="1" max="1" width="46.42578125" customWidth="1"/>
    <col min="2" max="2" width="12.28515625" bestFit="1" customWidth="1"/>
    <col min="3" max="3" width="15.42578125" bestFit="1" customWidth="1"/>
    <col min="4" max="4" width="12.42578125" bestFit="1" customWidth="1"/>
    <col min="5" max="5" width="13.5703125" bestFit="1" customWidth="1"/>
    <col min="6" max="6" width="11.28515625" customWidth="1"/>
    <col min="7" max="7" width="23.140625" style="172" customWidth="1"/>
    <col min="9" max="9" width="30.140625" customWidth="1"/>
    <col min="12" max="12" width="15.85546875" customWidth="1"/>
    <col min="13" max="13" width="12.7109375" bestFit="1" customWidth="1"/>
    <col min="14" max="14" width="35.42578125" customWidth="1"/>
  </cols>
  <sheetData>
    <row r="1" spans="1:14" ht="23.25" x14ac:dyDescent="0.35">
      <c r="A1" s="72" t="s">
        <v>349</v>
      </c>
      <c r="B1" s="73"/>
      <c r="C1" s="72">
        <f>'1.Budsjettinput'!D1</f>
        <v>0</v>
      </c>
      <c r="D1" s="73"/>
    </row>
    <row r="2" spans="1:14" ht="21" x14ac:dyDescent="0.35">
      <c r="A2" s="74" t="s">
        <v>350</v>
      </c>
      <c r="B2" s="74"/>
      <c r="C2" s="75">
        <f>'1.Budsjettinput'!D6</f>
        <v>0</v>
      </c>
      <c r="D2" s="73"/>
      <c r="G2" s="219"/>
    </row>
    <row r="3" spans="1:14" ht="21" x14ac:dyDescent="0.35">
      <c r="A3" s="74" t="s">
        <v>351</v>
      </c>
      <c r="B3" s="74"/>
      <c r="C3" s="217">
        <f>'1.Budsjettinput'!K1</f>
        <v>0</v>
      </c>
      <c r="D3" s="73"/>
      <c r="G3" s="219"/>
    </row>
    <row r="4" spans="1:14" ht="21" x14ac:dyDescent="0.35">
      <c r="A4" s="74" t="s">
        <v>352</v>
      </c>
      <c r="B4" s="74"/>
      <c r="C4" s="216">
        <f>'1.Budsjettinput'!K6</f>
        <v>0</v>
      </c>
      <c r="D4" s="73"/>
      <c r="E4" s="172"/>
      <c r="F4" s="213"/>
    </row>
    <row r="5" spans="1:14" ht="21" x14ac:dyDescent="0.35">
      <c r="A5" s="74" t="s">
        <v>306</v>
      </c>
      <c r="B5" s="74"/>
      <c r="C5" s="217">
        <f>'1.Budsjettinput'!K8</f>
        <v>0</v>
      </c>
      <c r="D5" s="73"/>
    </row>
    <row r="6" spans="1:14" ht="21" x14ac:dyDescent="0.35">
      <c r="A6" s="74" t="s">
        <v>360</v>
      </c>
      <c r="B6" s="74"/>
      <c r="C6" s="217">
        <f>'1.Budsjettinput'!K9</f>
        <v>0</v>
      </c>
      <c r="D6" s="73"/>
      <c r="H6" s="155"/>
    </row>
    <row r="7" spans="1:14" ht="15.75" thickBot="1" x14ac:dyDescent="0.3"/>
    <row r="8" spans="1:14" ht="15.75" thickBot="1" x14ac:dyDescent="0.3">
      <c r="H8" s="328" t="s">
        <v>270</v>
      </c>
      <c r="I8" s="329"/>
      <c r="J8" s="329"/>
      <c r="K8" s="329"/>
      <c r="L8" s="329"/>
      <c r="M8" s="330"/>
    </row>
    <row r="9" spans="1:14" x14ac:dyDescent="0.25">
      <c r="A9" s="331" t="s">
        <v>143</v>
      </c>
      <c r="B9" s="332"/>
      <c r="C9" s="332"/>
      <c r="D9" s="332"/>
      <c r="E9" s="333"/>
      <c r="H9" s="26" t="s">
        <v>259</v>
      </c>
      <c r="I9" s="1" t="s">
        <v>260</v>
      </c>
      <c r="J9" s="1" t="s">
        <v>261</v>
      </c>
      <c r="K9" s="1" t="s">
        <v>262</v>
      </c>
      <c r="L9" s="1" t="s">
        <v>274</v>
      </c>
      <c r="M9" s="123" t="s">
        <v>275</v>
      </c>
    </row>
    <row r="10" spans="1:14" x14ac:dyDescent="0.25">
      <c r="A10" s="26"/>
      <c r="B10" s="28">
        <f>'1.Budsjettinput'!G12</f>
        <v>1900</v>
      </c>
      <c r="C10" s="28">
        <f>B10+1</f>
        <v>1901</v>
      </c>
      <c r="D10" s="28">
        <f>C10+1</f>
        <v>1902</v>
      </c>
      <c r="E10" s="20" t="s">
        <v>79</v>
      </c>
      <c r="H10" s="111">
        <v>110</v>
      </c>
      <c r="I10" s="1" t="s">
        <v>342</v>
      </c>
      <c r="J10" s="1" t="s">
        <v>263</v>
      </c>
      <c r="K10" s="260">
        <f>SUM('1.Budsjettinput'!M14:M23)</f>
        <v>0</v>
      </c>
      <c r="L10" s="156">
        <f>IF(K10&gt;0,"Snitt:   "&amp; ROUND('1.Budsjettinput'!Y24,0),M10)</f>
        <v>0</v>
      </c>
      <c r="M10" s="159">
        <f>K10*ROUND('1.Budsjettinput'!Y24,2)</f>
        <v>0</v>
      </c>
      <c r="N10" s="160" t="s">
        <v>283</v>
      </c>
    </row>
    <row r="11" spans="1:14" x14ac:dyDescent="0.25">
      <c r="A11" s="153" t="s">
        <v>278</v>
      </c>
      <c r="B11" s="21">
        <f>'1.Budsjettinput'!R11+'1.Budsjettinput'!R12</f>
        <v>0</v>
      </c>
      <c r="C11" s="21">
        <f>'1.Budsjettinput'!S11+'1.Budsjettinput'!S12</f>
        <v>0</v>
      </c>
      <c r="D11" s="21">
        <f>'1.Budsjettinput'!T11+'1.Budsjettinput'!T12</f>
        <v>0</v>
      </c>
      <c r="E11" s="23">
        <f>SUM(B11:D11)</f>
        <v>0</v>
      </c>
      <c r="H11" s="209" t="s">
        <v>343</v>
      </c>
      <c r="I11" s="1" t="s">
        <v>344</v>
      </c>
      <c r="J11" s="1" t="s">
        <v>265</v>
      </c>
      <c r="K11" s="260"/>
      <c r="L11" s="40">
        <f>IF(K11&gt;0,M11/K11,M11)</f>
        <v>0</v>
      </c>
      <c r="M11" s="159">
        <f>'1.Budsjettinput'!U12+'1.Budsjettinput'!N24-'2. Oppsummering Budsjett'!M10</f>
        <v>0</v>
      </c>
      <c r="N11" s="160" t="s">
        <v>284</v>
      </c>
    </row>
    <row r="12" spans="1:14" x14ac:dyDescent="0.25">
      <c r="A12" s="153" t="s">
        <v>279</v>
      </c>
      <c r="B12" s="21">
        <f>'1.Budsjettinput'!R13+'1.Budsjettinput'!R14</f>
        <v>0</v>
      </c>
      <c r="C12" s="21">
        <f>'1.Budsjettinput'!S13+'1.Budsjettinput'!S14</f>
        <v>0</v>
      </c>
      <c r="D12" s="21">
        <f>'1.Budsjettinput'!T13+'1.Budsjettinput'!T14</f>
        <v>0</v>
      </c>
      <c r="E12" s="23">
        <f>SUM(B12:D12)</f>
        <v>0</v>
      </c>
      <c r="H12" s="111" t="s">
        <v>345</v>
      </c>
      <c r="I12" s="1" t="s">
        <v>346</v>
      </c>
      <c r="J12" s="1" t="s">
        <v>265</v>
      </c>
      <c r="K12" s="260"/>
      <c r="L12" s="40">
        <f>IF(K12&gt;0,M12/K12,M12)</f>
        <v>0</v>
      </c>
      <c r="M12" s="159">
        <f>'1.Budsjettinput'!U13</f>
        <v>0</v>
      </c>
    </row>
    <row r="13" spans="1:14" x14ac:dyDescent="0.25">
      <c r="A13" s="153" t="s">
        <v>280</v>
      </c>
      <c r="B13" s="21">
        <f>'1.Budsjettinput'!R15</f>
        <v>0</v>
      </c>
      <c r="C13" s="21">
        <f>'1.Budsjettinput'!S15</f>
        <v>0</v>
      </c>
      <c r="D13" s="21">
        <f>'1.Budsjettinput'!T15</f>
        <v>0</v>
      </c>
      <c r="E13" s="23">
        <f>SUM(B13:D13)</f>
        <v>0</v>
      </c>
      <c r="G13" s="180"/>
      <c r="H13" s="274" t="s">
        <v>436</v>
      </c>
      <c r="I13" s="275" t="s">
        <v>356</v>
      </c>
      <c r="J13" s="1" t="s">
        <v>265</v>
      </c>
      <c r="K13" s="164">
        <v>1</v>
      </c>
      <c r="L13" s="40">
        <f>M13</f>
        <v>0</v>
      </c>
      <c r="M13" s="159">
        <f>'1.Budsjettinput'!U14</f>
        <v>0</v>
      </c>
      <c r="N13" s="327"/>
    </row>
    <row r="14" spans="1:14" x14ac:dyDescent="0.25">
      <c r="A14" s="154" t="s">
        <v>313</v>
      </c>
      <c r="B14" s="259"/>
      <c r="C14" s="259"/>
      <c r="D14" s="259"/>
      <c r="E14" s="228">
        <f>IF('1.Budsjettinput'!D6="Videreutdanning",'1.Budsjettinput'!D8*'1.Budsjettinput'!K3*IK_SP,'1.Budsjettinput'!D8*'1.Budsjettinput'!K4*IK_UT)</f>
        <v>0</v>
      </c>
      <c r="F14" s="226">
        <f>E14-SUM(B14:D14)</f>
        <v>0</v>
      </c>
      <c r="G14" s="181" t="str">
        <f>IF(F14=0," ","Fordel IK pr. år")</f>
        <v xml:space="preserve"> </v>
      </c>
      <c r="H14" s="274">
        <v>9117</v>
      </c>
      <c r="I14" s="275" t="s">
        <v>432</v>
      </c>
      <c r="J14" s="78" t="s">
        <v>265</v>
      </c>
      <c r="K14" s="164">
        <v>1</v>
      </c>
      <c r="L14" s="40">
        <f t="shared" ref="L14:L20" si="0">IF(K14&gt;0,M14/K14,M14)</f>
        <v>0</v>
      </c>
      <c r="M14" s="159">
        <f>E14</f>
        <v>0</v>
      </c>
      <c r="N14" s="327"/>
    </row>
    <row r="15" spans="1:14" x14ac:dyDescent="0.25">
      <c r="A15" s="154" t="s">
        <v>315</v>
      </c>
      <c r="B15" s="21">
        <f>'1.Budsjettinput'!R42</f>
        <v>0</v>
      </c>
      <c r="C15" s="21">
        <f>'1.Budsjettinput'!S42</f>
        <v>0</v>
      </c>
      <c r="D15" s="21">
        <f>'1.Budsjettinput'!T42</f>
        <v>0</v>
      </c>
      <c r="E15" s="23">
        <f>SUM(B15:D15)</f>
        <v>0</v>
      </c>
      <c r="H15" s="274">
        <v>9116</v>
      </c>
      <c r="I15" s="161" t="s">
        <v>433</v>
      </c>
      <c r="J15" s="1" t="s">
        <v>265</v>
      </c>
      <c r="K15" s="260"/>
      <c r="L15" s="40">
        <f t="shared" si="0"/>
        <v>0</v>
      </c>
      <c r="M15" s="159">
        <f>'1.Budsjettinput'!U15-(M10-M10/1.4)</f>
        <v>0</v>
      </c>
    </row>
    <row r="16" spans="1:14" x14ac:dyDescent="0.25">
      <c r="A16" s="154" t="s">
        <v>325</v>
      </c>
      <c r="B16" s="21">
        <f>'1.Budsjettinput'!R43</f>
        <v>0</v>
      </c>
      <c r="C16" s="21">
        <f>'1.Budsjettinput'!S43</f>
        <v>0</v>
      </c>
      <c r="D16" s="21">
        <f>'1.Budsjettinput'!T43</f>
        <v>0</v>
      </c>
      <c r="E16" s="23">
        <f>SUM(B16:D16)</f>
        <v>0</v>
      </c>
      <c r="H16" s="163" t="s">
        <v>287</v>
      </c>
      <c r="I16" s="161" t="s">
        <v>285</v>
      </c>
      <c r="J16" s="161" t="s">
        <v>265</v>
      </c>
      <c r="K16" s="164">
        <v>-1</v>
      </c>
      <c r="L16" s="40">
        <f>-M16</f>
        <v>0</v>
      </c>
      <c r="M16" s="159">
        <f>-M17</f>
        <v>0</v>
      </c>
    </row>
    <row r="17" spans="1:15" x14ac:dyDescent="0.25">
      <c r="A17" s="17" t="s">
        <v>136</v>
      </c>
      <c r="B17" s="21">
        <f>'1.Budsjettinput'!R47-'2. Oppsummering Budsjett'!B15-'2. Oppsummering Budsjett'!B16</f>
        <v>0</v>
      </c>
      <c r="C17" s="21">
        <f>'1.Budsjettinput'!S47-'2. Oppsummering Budsjett'!C15-'2. Oppsummering Budsjett'!C16</f>
        <v>0</v>
      </c>
      <c r="D17" s="21">
        <f>'1.Budsjettinput'!T47-'2. Oppsummering Budsjett'!D15-'2. Oppsummering Budsjett'!D16</f>
        <v>0</v>
      </c>
      <c r="E17" s="23">
        <f>SUM(B17:D17)</f>
        <v>0</v>
      </c>
      <c r="H17" s="163" t="s">
        <v>288</v>
      </c>
      <c r="I17" s="161" t="s">
        <v>286</v>
      </c>
      <c r="J17" s="161" t="s">
        <v>265</v>
      </c>
      <c r="K17" s="164">
        <v>1</v>
      </c>
      <c r="L17" s="40">
        <f>M17</f>
        <v>0</v>
      </c>
      <c r="M17" s="159">
        <f>'1.Budsjettinput'!N24-'1.Budsjettinput'!U11</f>
        <v>0</v>
      </c>
    </row>
    <row r="18" spans="1:15" ht="15.75" thickBot="1" x14ac:dyDescent="0.3">
      <c r="A18" s="19" t="s">
        <v>79</v>
      </c>
      <c r="B18" s="22">
        <f>SUM(B11:B17)</f>
        <v>0</v>
      </c>
      <c r="C18" s="22">
        <f>SUM(C11:C17)</f>
        <v>0</v>
      </c>
      <c r="D18" s="22">
        <f>SUM(D11:D17)</f>
        <v>0</v>
      </c>
      <c r="E18" s="24">
        <f>SUM(E11:E17)</f>
        <v>0</v>
      </c>
      <c r="F18" s="227">
        <f>SUM(B18:D18)-SUM(E11:E17)</f>
        <v>0</v>
      </c>
      <c r="H18" s="26" t="s">
        <v>266</v>
      </c>
      <c r="I18" s="1" t="s">
        <v>267</v>
      </c>
      <c r="J18" s="1" t="s">
        <v>265</v>
      </c>
      <c r="K18" s="260"/>
      <c r="L18" s="40">
        <f t="shared" si="0"/>
        <v>0</v>
      </c>
      <c r="M18" s="159">
        <f>'1.Budsjettinput'!U47-M19-M20</f>
        <v>0</v>
      </c>
    </row>
    <row r="19" spans="1:15" ht="15.75" thickBot="1" x14ac:dyDescent="0.3">
      <c r="H19" s="111" t="s">
        <v>341</v>
      </c>
      <c r="I19" s="1" t="s">
        <v>340</v>
      </c>
      <c r="J19" s="1" t="s">
        <v>265</v>
      </c>
      <c r="K19" s="260"/>
      <c r="L19" s="40">
        <f t="shared" si="0"/>
        <v>0</v>
      </c>
      <c r="M19" s="159">
        <f>'1.Budsjettinput'!U40</f>
        <v>0</v>
      </c>
    </row>
    <row r="20" spans="1:15" x14ac:dyDescent="0.25">
      <c r="A20" s="331" t="s">
        <v>144</v>
      </c>
      <c r="B20" s="332"/>
      <c r="C20" s="332"/>
      <c r="D20" s="332"/>
      <c r="E20" s="333"/>
      <c r="H20" s="111" t="s">
        <v>326</v>
      </c>
      <c r="I20" s="78" t="s">
        <v>264</v>
      </c>
      <c r="J20" s="78" t="s">
        <v>265</v>
      </c>
      <c r="K20" s="260"/>
      <c r="L20" s="40">
        <f t="shared" si="0"/>
        <v>0</v>
      </c>
      <c r="M20" s="159">
        <f>'1.Budsjettinput'!U45</f>
        <v>0</v>
      </c>
      <c r="O20" s="180"/>
    </row>
    <row r="21" spans="1:15" x14ac:dyDescent="0.25">
      <c r="A21" s="29"/>
      <c r="B21" s="28">
        <f>B10</f>
        <v>1900</v>
      </c>
      <c r="C21" s="28">
        <f>B21+1</f>
        <v>1901</v>
      </c>
      <c r="D21" s="28">
        <f>C21+1</f>
        <v>1902</v>
      </c>
      <c r="E21" s="30" t="s">
        <v>79</v>
      </c>
      <c r="H21" s="26"/>
      <c r="I21" s="101" t="s">
        <v>268</v>
      </c>
      <c r="J21" s="101"/>
      <c r="K21" s="101"/>
      <c r="L21" s="121"/>
      <c r="M21" s="23">
        <f>SUM(M10:M20)</f>
        <v>0</v>
      </c>
    </row>
    <row r="22" spans="1:15" x14ac:dyDescent="0.25">
      <c r="A22" s="47" t="s">
        <v>362</v>
      </c>
      <c r="B22" s="260"/>
      <c r="C22" s="260"/>
      <c r="D22" s="260">
        <v>0</v>
      </c>
      <c r="E22" s="23">
        <f>'1.Budsjettinput'!D8*'1.Budsjettinput'!K6</f>
        <v>0</v>
      </c>
      <c r="F22" s="226">
        <f>E22-SUM(B22:D22)</f>
        <v>0</v>
      </c>
      <c r="G22" s="181" t="str">
        <f>IF(F22=0," ","Fordel pr. år")</f>
        <v xml:space="preserve"> </v>
      </c>
      <c r="H22" s="26"/>
      <c r="I22" s="1"/>
      <c r="J22" s="1"/>
      <c r="K22" s="1"/>
      <c r="L22" s="1"/>
      <c r="M22" s="34"/>
    </row>
    <row r="23" spans="1:15" x14ac:dyDescent="0.25">
      <c r="A23" s="17" t="s">
        <v>142</v>
      </c>
      <c r="B23" s="27">
        <f>SUM(B22:B22)</f>
        <v>0</v>
      </c>
      <c r="C23" s="27">
        <f>SUM(C22:C22)</f>
        <v>0</v>
      </c>
      <c r="D23" s="27">
        <f>SUM(D22:D22)</f>
        <v>0</v>
      </c>
      <c r="E23" s="23">
        <f>SUM(B23:D23)</f>
        <v>0</v>
      </c>
      <c r="H23" s="111">
        <v>9065</v>
      </c>
      <c r="I23" s="1" t="s">
        <v>269</v>
      </c>
      <c r="J23" s="1" t="s">
        <v>265</v>
      </c>
      <c r="K23" s="1"/>
      <c r="L23" s="122"/>
      <c r="M23" s="191" t="e">
        <f>IF(D29&lt;&gt;" ",M21*ROUND(D29,2),"I/A")</f>
        <v>#DIV/0!</v>
      </c>
      <c r="N23" s="26"/>
    </row>
    <row r="24" spans="1:15" x14ac:dyDescent="0.25">
      <c r="A24" s="17"/>
      <c r="B24" s="21"/>
      <c r="C24" s="21"/>
      <c r="D24" s="21"/>
      <c r="E24" s="23"/>
      <c r="H24" s="26"/>
      <c r="I24" s="1"/>
      <c r="J24" s="1"/>
      <c r="K24" s="1"/>
      <c r="L24" s="1"/>
      <c r="M24" s="34"/>
      <c r="N24" s="26"/>
    </row>
    <row r="25" spans="1:15" x14ac:dyDescent="0.25">
      <c r="A25" s="31" t="s">
        <v>359</v>
      </c>
      <c r="B25" s="260"/>
      <c r="C25" s="260"/>
      <c r="D25" s="260"/>
      <c r="E25" s="23">
        <f>SUM(B25:D25)</f>
        <v>0</v>
      </c>
      <c r="H25" s="152" t="e">
        <f>IF(D29&lt;&gt;" ","Maconomy vil vise feil egenfinansiering pga. avrunding - nøyaktig egenfinansiering er "," ")</f>
        <v>#DIV/0!</v>
      </c>
      <c r="M25" s="124" t="e">
        <f>IF(D29&lt;&gt;" ",ROUND(E26,0),"")</f>
        <v>#DIV/0!</v>
      </c>
    </row>
    <row r="26" spans="1:15" x14ac:dyDescent="0.25">
      <c r="A26" s="17" t="str">
        <f>IF(E23&gt;E18,"Forventet fortjeneste","Instituttets egenfinansiering ")</f>
        <v xml:space="preserve">Instituttets egenfinansiering </v>
      </c>
      <c r="B26" s="21">
        <f>IF($E$23&gt;$E$18,-(B18-B23-B25),B18-B23-B25)</f>
        <v>0</v>
      </c>
      <c r="C26" s="21">
        <f>IF($E$23&gt;$E$18,-(C18-C23-C25),C18-C23-C25)</f>
        <v>0</v>
      </c>
      <c r="D26" s="21">
        <f>IF($E$23&gt;$E$18,-(D18-D23-D25),D18-D23-D25)</f>
        <v>0</v>
      </c>
      <c r="E26" s="23">
        <f>SUM(B26:D26)</f>
        <v>0</v>
      </c>
      <c r="H26" s="26"/>
      <c r="M26" s="34"/>
      <c r="N26" s="26"/>
    </row>
    <row r="27" spans="1:15" ht="15.75" thickBot="1" x14ac:dyDescent="0.3">
      <c r="A27" s="19" t="s">
        <v>327</v>
      </c>
      <c r="B27" s="22">
        <f>IF($E$23&gt;$E$18,B23,SUM(B23:B26))</f>
        <v>0</v>
      </c>
      <c r="C27" s="22">
        <f>IF($E$23&gt;$E$18,C23,SUM(C23:C26))</f>
        <v>0</v>
      </c>
      <c r="D27" s="22">
        <f>IF($E$23&gt;$E$18,D23,SUM(D23:D26))</f>
        <v>0</v>
      </c>
      <c r="E27" s="24">
        <f>SUM(B27:D27)</f>
        <v>0</v>
      </c>
      <c r="H27" s="35"/>
      <c r="I27" s="36"/>
      <c r="J27" s="36"/>
      <c r="K27" s="36"/>
      <c r="L27" s="36"/>
    </row>
    <row r="28" spans="1:15" x14ac:dyDescent="0.25">
      <c r="M28" s="38"/>
    </row>
    <row r="29" spans="1:15" ht="23.25" x14ac:dyDescent="0.35">
      <c r="A29" s="271" t="str">
        <f>IF('1.Budsjettinput'!D6="Etterutdanning","Egenfinansieringsandel (over prosjektets levetid)",IF('1.Budsjettinput'!K1="Øk. Aktivitet",IF(D29&lt;&gt;" ","Budsjettert underskudd - registreres IKKE i Maconomy",""),""))</f>
        <v/>
      </c>
      <c r="B29" s="33"/>
      <c r="C29" s="32"/>
      <c r="D29" s="190" t="e">
        <f>IF(E23&gt;E18," ",E26/E18)</f>
        <v>#DIV/0!</v>
      </c>
      <c r="E29" s="213" t="str">
        <f>IF('1.Budsjettinput'!D6="Etterutdanning",IF(D29&lt;&gt;" ","Kurset er økonomisk aktivitet - og må fullfinansieres. Vurder egenbetalingen eller reduser kostnadene",""),IF('1.Budsjettinput'!K1="Øk. Aktivitet",IF(D29&lt;&gt;" ","Kurset er økonomisk aktivitet. Kurset kan, til tross for at det ikke er regnskapsm. fullfinansiert, anses som fullfinansiert - og derved lovlig - i henhold til KDs regler",""),""))</f>
        <v/>
      </c>
    </row>
    <row r="30" spans="1:15" s="172" customFormat="1" ht="23.25" x14ac:dyDescent="0.35">
      <c r="A30" s="268"/>
      <c r="B30" s="269"/>
      <c r="C30" s="108"/>
      <c r="D30" s="270"/>
      <c r="E30" s="336" t="str">
        <f>IF('1.Budsjettinput'!D6="Videreutdanning",IF(E29&lt;&gt;"","Dette beregnes i simuleringsverktøyet (Budsjettmodell EVU)",""),"")</f>
        <v/>
      </c>
      <c r="F30" s="336"/>
      <c r="G30" s="336"/>
      <c r="H30"/>
      <c r="I30"/>
      <c r="J30"/>
      <c r="K30"/>
      <c r="L30"/>
      <c r="M30"/>
    </row>
    <row r="31" spans="1:15" ht="18.75" customHeight="1" thickBot="1" x14ac:dyDescent="0.3">
      <c r="E31" s="336"/>
      <c r="F31" s="336"/>
      <c r="G31" s="336"/>
      <c r="H31" s="172"/>
      <c r="I31" s="172"/>
      <c r="J31" s="172"/>
      <c r="K31" s="172"/>
      <c r="L31" s="172"/>
      <c r="M31" s="172"/>
    </row>
    <row r="32" spans="1:15" ht="20.25" x14ac:dyDescent="0.3">
      <c r="A32" s="233"/>
      <c r="B32" s="225"/>
      <c r="C32" s="225"/>
      <c r="D32" s="225"/>
      <c r="E32" s="266"/>
      <c r="F32" s="266"/>
      <c r="G32" s="267"/>
      <c r="H32" s="331" t="s">
        <v>363</v>
      </c>
      <c r="I32" s="332"/>
      <c r="J32" s="332"/>
      <c r="K32" s="332"/>
      <c r="L32" s="332"/>
      <c r="M32" s="333"/>
    </row>
    <row r="33" spans="1:13" x14ac:dyDescent="0.25">
      <c r="A33" s="234"/>
      <c r="B33" s="232"/>
      <c r="C33" s="232"/>
      <c r="D33" s="232"/>
      <c r="E33" s="235"/>
      <c r="H33" s="26"/>
      <c r="I33" s="28"/>
      <c r="J33" s="28">
        <f t="shared" ref="J33:L34" si="1">B10</f>
        <v>1900</v>
      </c>
      <c r="K33" s="28">
        <f t="shared" si="1"/>
        <v>1901</v>
      </c>
      <c r="L33" s="28">
        <f t="shared" si="1"/>
        <v>1902</v>
      </c>
      <c r="M33" s="20" t="s">
        <v>79</v>
      </c>
    </row>
    <row r="34" spans="1:13" x14ac:dyDescent="0.25">
      <c r="A34" s="234"/>
      <c r="B34" s="232"/>
      <c r="C34" s="232"/>
      <c r="D34" s="232"/>
      <c r="E34" s="235"/>
      <c r="H34" s="334" t="s">
        <v>367</v>
      </c>
      <c r="I34" s="335"/>
      <c r="J34" s="21">
        <f t="shared" si="1"/>
        <v>0</v>
      </c>
      <c r="K34" s="21">
        <f t="shared" si="1"/>
        <v>0</v>
      </c>
      <c r="L34" s="21">
        <f t="shared" si="1"/>
        <v>0</v>
      </c>
      <c r="M34" s="23">
        <f>SUM(I34:K34)</f>
        <v>0</v>
      </c>
    </row>
    <row r="35" spans="1:13" x14ac:dyDescent="0.25">
      <c r="A35" s="234"/>
      <c r="B35" s="232"/>
      <c r="C35" s="232"/>
      <c r="D35" s="232"/>
      <c r="E35" s="235"/>
      <c r="H35" s="334" t="s">
        <v>364</v>
      </c>
      <c r="I35" s="335"/>
      <c r="J35" s="21">
        <f>'1.Budsjettinput'!R13</f>
        <v>0</v>
      </c>
      <c r="K35" s="21">
        <f>'1.Budsjettinput'!S13</f>
        <v>0</v>
      </c>
      <c r="L35" s="21">
        <f>'1.Budsjettinput'!T13</f>
        <v>0</v>
      </c>
      <c r="M35" s="23">
        <f t="shared" ref="M35:M40" si="2">SUM(I35:K35)</f>
        <v>0</v>
      </c>
    </row>
    <row r="36" spans="1:13" ht="15.75" x14ac:dyDescent="0.25">
      <c r="A36" s="94"/>
      <c r="B36" s="236"/>
      <c r="C36" s="236"/>
      <c r="D36" s="236"/>
      <c r="E36" s="276"/>
      <c r="F36" s="276"/>
      <c r="H36" s="334" t="s">
        <v>366</v>
      </c>
      <c r="I36" s="335">
        <f>'1.Budsjettinput'!Y36</f>
        <v>0</v>
      </c>
      <c r="J36" s="21">
        <f>'1.Budsjettinput'!R14</f>
        <v>0</v>
      </c>
      <c r="K36" s="21">
        <f>'1.Budsjettinput'!S14</f>
        <v>0</v>
      </c>
      <c r="L36" s="21">
        <f>'1.Budsjettinput'!T14</f>
        <v>0</v>
      </c>
      <c r="M36" s="23">
        <f t="shared" si="2"/>
        <v>0</v>
      </c>
    </row>
    <row r="37" spans="1:13" x14ac:dyDescent="0.25">
      <c r="A37" s="78"/>
      <c r="B37" s="78"/>
      <c r="C37" s="78"/>
      <c r="D37" s="78"/>
      <c r="E37" s="276"/>
      <c r="F37" s="276"/>
      <c r="H37" s="334" t="s">
        <v>365</v>
      </c>
      <c r="I37" s="335">
        <f>'1.Budsjettinput'!Y36+'1.Budsjettinput'!Y37</f>
        <v>0</v>
      </c>
      <c r="J37" s="21">
        <f>B13+B14</f>
        <v>0</v>
      </c>
      <c r="K37" s="21">
        <f>C13+C14</f>
        <v>0</v>
      </c>
      <c r="L37" s="21">
        <f>D13+D14</f>
        <v>0</v>
      </c>
      <c r="M37" s="23">
        <f t="shared" si="2"/>
        <v>0</v>
      </c>
    </row>
    <row r="38" spans="1:13" x14ac:dyDescent="0.25">
      <c r="A38" s="237"/>
      <c r="B38" s="78"/>
      <c r="C38" s="78"/>
      <c r="D38" s="78"/>
      <c r="E38" s="78"/>
      <c r="H38" s="334" t="s">
        <v>340</v>
      </c>
      <c r="I38" s="335"/>
      <c r="J38" s="212">
        <f>'1.Budsjettinput'!R40</f>
        <v>0</v>
      </c>
      <c r="K38" s="212">
        <f>'1.Budsjettinput'!S40</f>
        <v>0</v>
      </c>
      <c r="L38" s="212">
        <f>'1.Budsjettinput'!T40</f>
        <v>0</v>
      </c>
      <c r="M38" s="23">
        <f t="shared" si="2"/>
        <v>0</v>
      </c>
    </row>
    <row r="39" spans="1:13" x14ac:dyDescent="0.25">
      <c r="A39" s="234"/>
      <c r="B39" s="212"/>
      <c r="C39" s="212"/>
      <c r="D39" s="212"/>
      <c r="E39" s="238"/>
      <c r="H39" s="334" t="s">
        <v>361</v>
      </c>
      <c r="I39" s="335">
        <f>'1.Budsjettinput'!Y64</f>
        <v>0</v>
      </c>
      <c r="J39" s="21">
        <f>'1.Budsjettinput'!R45</f>
        <v>0</v>
      </c>
      <c r="K39" s="21">
        <f>'1.Budsjettinput'!S45</f>
        <v>0</v>
      </c>
      <c r="L39" s="21">
        <f>'1.Budsjettinput'!T45</f>
        <v>0</v>
      </c>
      <c r="M39" s="23">
        <f t="shared" si="2"/>
        <v>0</v>
      </c>
    </row>
    <row r="40" spans="1:13" x14ac:dyDescent="0.25">
      <c r="A40" s="234"/>
      <c r="B40" s="212"/>
      <c r="C40" s="212"/>
      <c r="D40" s="212"/>
      <c r="E40" s="238"/>
      <c r="H40" s="334" t="s">
        <v>136</v>
      </c>
      <c r="I40" s="335">
        <f>'1.Budsjettinput'!Y65</f>
        <v>0</v>
      </c>
      <c r="J40" s="21">
        <f>'1.Budsjettinput'!R47-'2. Oppsummering Budsjett'!J38-'2. Oppsummering Budsjett'!J39</f>
        <v>0</v>
      </c>
      <c r="K40" s="21">
        <f>'1.Budsjettinput'!S47-'2. Oppsummering Budsjett'!K38-'2. Oppsummering Budsjett'!K39</f>
        <v>0</v>
      </c>
      <c r="L40" s="21">
        <f>'1.Budsjettinput'!T47-'2. Oppsummering Budsjett'!L38-'2. Oppsummering Budsjett'!L39</f>
        <v>0</v>
      </c>
      <c r="M40" s="23">
        <f t="shared" si="2"/>
        <v>0</v>
      </c>
    </row>
    <row r="41" spans="1:13" x14ac:dyDescent="0.25">
      <c r="A41" s="234"/>
      <c r="B41" s="212"/>
      <c r="C41" s="212"/>
      <c r="D41" s="212"/>
      <c r="E41" s="238"/>
      <c r="H41" s="334"/>
      <c r="I41" s="335"/>
      <c r="J41" s="21"/>
      <c r="K41" s="21"/>
      <c r="L41" s="21"/>
      <c r="M41" s="23"/>
    </row>
    <row r="42" spans="1:13" ht="15.75" thickBot="1" x14ac:dyDescent="0.3">
      <c r="A42" s="239"/>
      <c r="B42" s="212"/>
      <c r="C42" s="212"/>
      <c r="D42" s="212"/>
      <c r="E42" s="238"/>
      <c r="H42" s="337" t="s">
        <v>79</v>
      </c>
      <c r="I42" s="338"/>
      <c r="J42" s="22">
        <f>SUM(J34:J40)</f>
        <v>0</v>
      </c>
      <c r="K42" s="22">
        <f>SUM(K34:K41)</f>
        <v>0</v>
      </c>
      <c r="L42" s="22"/>
      <c r="M42" s="24">
        <f>SUM(M34:M41)</f>
        <v>0</v>
      </c>
    </row>
    <row r="43" spans="1:13" ht="15.75" x14ac:dyDescent="0.25">
      <c r="A43" s="94"/>
      <c r="B43" s="236"/>
      <c r="C43" s="236"/>
      <c r="D43" s="236"/>
      <c r="E43" s="236"/>
    </row>
    <row r="56" ht="21" customHeight="1" x14ac:dyDescent="0.25"/>
  </sheetData>
  <sheetProtection formatCells="0" formatColumns="0" formatRows="0" insertColumns="0" insertRows="0"/>
  <mergeCells count="15">
    <mergeCell ref="H41:I41"/>
    <mergeCell ref="H32:M32"/>
    <mergeCell ref="H35:I35"/>
    <mergeCell ref="E30:G31"/>
    <mergeCell ref="H42:I42"/>
    <mergeCell ref="H36:I36"/>
    <mergeCell ref="H37:I37"/>
    <mergeCell ref="H38:I38"/>
    <mergeCell ref="H39:I39"/>
    <mergeCell ref="H40:I40"/>
    <mergeCell ref="N13:N14"/>
    <mergeCell ref="H8:M8"/>
    <mergeCell ref="A9:E9"/>
    <mergeCell ref="A20:E20"/>
    <mergeCell ref="H34:I34"/>
  </mergeCells>
  <conditionalFormatting sqref="F14">
    <cfRule type="expression" dxfId="5" priority="8">
      <formula>$F$14&lt;&gt;0</formula>
    </cfRule>
  </conditionalFormatting>
  <conditionalFormatting sqref="F22">
    <cfRule type="expression" dxfId="4" priority="7">
      <formula>$F$14&lt;&gt;0</formula>
    </cfRule>
  </conditionalFormatting>
  <conditionalFormatting sqref="E18">
    <cfRule type="expression" dxfId="3" priority="6">
      <formula>$F$18&lt;&gt;0</formula>
    </cfRule>
  </conditionalFormatting>
  <conditionalFormatting sqref="A5:D6">
    <cfRule type="expression" dxfId="2" priority="3">
      <formula>$C$2="Etterutdanning"</formula>
    </cfRule>
  </conditionalFormatting>
  <conditionalFormatting sqref="D29">
    <cfRule type="expression" dxfId="1" priority="1">
      <formula>$A$29="Budsjettert underskudd - registreres IKKE i Maconomy"</formula>
    </cfRule>
  </conditionalFormatting>
  <pageMargins left="0.7" right="0.7" top="0.75" bottom="0.75" header="0.3" footer="0.3"/>
  <pageSetup paperSize="9" orientation="portrait" r:id="rId1"/>
  <legacyDrawing r:id="rId2"/>
  <extLst>
    <ext xmlns:x14="http://schemas.microsoft.com/office/spreadsheetml/2009/9/main" uri="{78C0D931-6437-407d-A8EE-F0AAD7539E65}">
      <x14:conditionalFormattings>
        <x14:conditionalFormatting xmlns:xm="http://schemas.microsoft.com/office/excel/2006/main">
          <x14:cfRule type="expression" priority="2" id="{D38F1254-FD55-4B08-A02D-E309EBF9FBA0}">
            <xm:f>'1.Budsjettinput'!$K$1:$L$1="Øk. Aktivitet"</xm:f>
            <x14:dxf>
              <font>
                <b val="0"/>
                <i val="0"/>
                <color theme="0"/>
              </font>
              <fill>
                <patternFill>
                  <bgColor theme="0"/>
                </patternFill>
              </fill>
            </x14:dxf>
          </x14:cfRule>
          <xm:sqref>H23:M25</xm:sqref>
        </x14:conditionalFormatting>
      </x14:conditionalFormatting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Ark7">
    <pageSetUpPr fitToPage="1"/>
  </sheetPr>
  <dimension ref="A1:G43"/>
  <sheetViews>
    <sheetView topLeftCell="A7" zoomScale="90" zoomScaleNormal="90" workbookViewId="0">
      <selection activeCell="G17" sqref="G17"/>
    </sheetView>
  </sheetViews>
  <sheetFormatPr defaultColWidth="8.85546875" defaultRowHeight="15" x14ac:dyDescent="0.25"/>
  <cols>
    <col min="1" max="1" width="42.85546875" customWidth="1"/>
    <col min="2" max="4" width="10.42578125" bestFit="1" customWidth="1"/>
    <col min="5" max="5" width="11.42578125" customWidth="1"/>
    <col min="6" max="6" width="4.85546875" customWidth="1"/>
    <col min="7" max="7" width="92.140625" customWidth="1"/>
  </cols>
  <sheetData>
    <row r="1" spans="1:7" ht="23.25" x14ac:dyDescent="0.35">
      <c r="A1" s="72" t="s">
        <v>349</v>
      </c>
      <c r="B1" s="73"/>
      <c r="C1" s="72">
        <f>'1.Budsjettinput'!D1</f>
        <v>0</v>
      </c>
      <c r="D1" s="73"/>
    </row>
    <row r="2" spans="1:7" ht="21" x14ac:dyDescent="0.35">
      <c r="A2" s="74" t="s">
        <v>350</v>
      </c>
      <c r="B2" s="74"/>
      <c r="C2" s="74">
        <f>'1.Budsjettinput'!D6</f>
        <v>0</v>
      </c>
      <c r="D2" s="73"/>
    </row>
    <row r="3" spans="1:7" ht="21" x14ac:dyDescent="0.35">
      <c r="A3" s="74" t="s">
        <v>351</v>
      </c>
      <c r="B3" s="74"/>
      <c r="C3" s="75">
        <f>'1.Budsjettinput'!K1</f>
        <v>0</v>
      </c>
      <c r="D3" s="73"/>
    </row>
    <row r="4" spans="1:7" ht="21" x14ac:dyDescent="0.35">
      <c r="A4" s="74" t="s">
        <v>306</v>
      </c>
      <c r="B4" s="74"/>
      <c r="C4" s="75">
        <f>'1.Budsjettinput'!K8</f>
        <v>0</v>
      </c>
      <c r="D4" s="73"/>
    </row>
    <row r="5" spans="1:7" ht="21" x14ac:dyDescent="0.35">
      <c r="A5" s="74" t="s">
        <v>353</v>
      </c>
      <c r="B5" s="74"/>
      <c r="C5" s="75">
        <f>'1.Budsjettinput'!K9</f>
        <v>0</v>
      </c>
      <c r="D5" s="73"/>
    </row>
    <row r="6" spans="1:7" ht="21" x14ac:dyDescent="0.35">
      <c r="A6" s="74" t="s">
        <v>352</v>
      </c>
      <c r="B6" s="74"/>
      <c r="C6" s="340">
        <f>'1.Budsjettinput'!K6</f>
        <v>0</v>
      </c>
      <c r="D6" s="340"/>
    </row>
    <row r="8" spans="1:7" ht="23.25" x14ac:dyDescent="0.35">
      <c r="A8" s="72" t="s">
        <v>161</v>
      </c>
    </row>
    <row r="10" spans="1:7" ht="21" x14ac:dyDescent="0.35">
      <c r="A10" s="83" t="s">
        <v>418</v>
      </c>
      <c r="B10" s="84"/>
      <c r="C10" s="84"/>
      <c r="D10" s="84"/>
      <c r="E10" s="85"/>
    </row>
    <row r="11" spans="1:7" x14ac:dyDescent="0.25">
      <c r="A11" s="86"/>
      <c r="B11" s="102">
        <f>'2. Oppsummering Budsjett'!B10</f>
        <v>1900</v>
      </c>
      <c r="C11" s="102">
        <f>B11+1</f>
        <v>1901</v>
      </c>
      <c r="D11" s="102">
        <f>C11+1</f>
        <v>1902</v>
      </c>
      <c r="E11" s="87" t="s">
        <v>154</v>
      </c>
    </row>
    <row r="12" spans="1:7" x14ac:dyDescent="0.25">
      <c r="A12" s="88" t="s">
        <v>328</v>
      </c>
      <c r="B12" s="89">
        <f>'2. Oppsummering Budsjett'!J37/1000*-1</f>
        <v>0</v>
      </c>
      <c r="C12" s="89">
        <f>'2. Oppsummering Budsjett'!K37/1000*-1</f>
        <v>0</v>
      </c>
      <c r="D12" s="89">
        <f>'2. Oppsummering Budsjett'!L37/1000*-1</f>
        <v>0</v>
      </c>
      <c r="E12" s="90">
        <f>SUM(B12:D12)</f>
        <v>0</v>
      </c>
    </row>
    <row r="13" spans="1:7" x14ac:dyDescent="0.25">
      <c r="A13" s="88" t="s">
        <v>329</v>
      </c>
      <c r="B13" s="89">
        <f>'2. Oppsummering Budsjett'!J34/1000*-1</f>
        <v>0</v>
      </c>
      <c r="C13" s="89">
        <f>'2. Oppsummering Budsjett'!K34/1000*-1</f>
        <v>0</v>
      </c>
      <c r="D13" s="89">
        <f>'2. Oppsummering Budsjett'!L34/1000*-1</f>
        <v>0</v>
      </c>
      <c r="E13" s="90">
        <f>SUM(B13:D13)</f>
        <v>0</v>
      </c>
    </row>
    <row r="14" spans="1:7" x14ac:dyDescent="0.25">
      <c r="A14" s="88" t="s">
        <v>330</v>
      </c>
      <c r="B14" s="89">
        <f>'2. Oppsummering Budsjett'!J39/1000*-1</f>
        <v>0</v>
      </c>
      <c r="C14" s="89">
        <f>'2. Oppsummering Budsjett'!K39/1000*-1</f>
        <v>0</v>
      </c>
      <c r="D14" s="89">
        <f>'2. Oppsummering Budsjett'!L39/1000*-1</f>
        <v>0</v>
      </c>
      <c r="E14" s="90">
        <f>SUM(B14:D14)</f>
        <v>0</v>
      </c>
    </row>
    <row r="15" spans="1:7" x14ac:dyDescent="0.25">
      <c r="A15" s="91" t="s">
        <v>357</v>
      </c>
      <c r="B15" s="92">
        <f>SUM(B12:B14)</f>
        <v>0</v>
      </c>
      <c r="C15" s="92">
        <f>SUM(C12:C14)</f>
        <v>0</v>
      </c>
      <c r="D15" s="92">
        <f>SUM(D12:D14)</f>
        <v>0</v>
      </c>
      <c r="E15" s="93">
        <f>SUM(E12:E14)</f>
        <v>0</v>
      </c>
      <c r="G15" s="281" t="s">
        <v>457</v>
      </c>
    </row>
    <row r="16" spans="1:7" x14ac:dyDescent="0.25">
      <c r="A16" s="88" t="s">
        <v>331</v>
      </c>
      <c r="B16" s="89">
        <f>IF('1.Budsjettinput'!$K$1="Ikke-øk. Akt",('2. Oppsummering Budsjett'!B25+'2. Oppsummering Budsjett'!B26)/1000,0)</f>
        <v>0</v>
      </c>
      <c r="C16" s="89">
        <f>IF('1.Budsjettinput'!$K$1="Ikke-øk. Akt",('2. Oppsummering Budsjett'!C25+'2. Oppsummering Budsjett'!C26)/1000,0)</f>
        <v>0</v>
      </c>
      <c r="D16" s="89">
        <f>IF('1.Budsjettinput'!$K$1="Ikke-øk. Akt",('2. Oppsummering Budsjett'!D25+'2. Oppsummering Budsjett'!D26)/1000,0)</f>
        <v>0</v>
      </c>
      <c r="E16" s="90">
        <f>SUM(B16:D16)</f>
        <v>0</v>
      </c>
      <c r="F16" s="219"/>
      <c r="G16" s="281" t="s">
        <v>458</v>
      </c>
    </row>
    <row r="17" spans="1:7" ht="21" customHeight="1" x14ac:dyDescent="0.25">
      <c r="A17" s="88" t="s">
        <v>155</v>
      </c>
      <c r="B17" s="84"/>
      <c r="C17" s="84"/>
      <c r="D17" s="84"/>
      <c r="E17" s="90">
        <f>SUM(B17:D17)</f>
        <v>0</v>
      </c>
      <c r="G17" s="281"/>
    </row>
    <row r="18" spans="1:7" x14ac:dyDescent="0.25">
      <c r="A18" s="88" t="s">
        <v>332</v>
      </c>
      <c r="B18" s="84"/>
      <c r="C18" s="84"/>
      <c r="D18" s="84"/>
      <c r="E18" s="90">
        <f>SUM(B18:D18)</f>
        <v>0</v>
      </c>
    </row>
    <row r="19" spans="1:7" x14ac:dyDescent="0.25">
      <c r="A19" s="91" t="s">
        <v>333</v>
      </c>
      <c r="B19" s="92">
        <f>SUM(B15:B18)</f>
        <v>0</v>
      </c>
      <c r="C19" s="92">
        <f>SUM(C15:C18)</f>
        <v>0</v>
      </c>
      <c r="D19" s="92">
        <f>SUM(D15:D18)</f>
        <v>0</v>
      </c>
      <c r="E19" s="93">
        <f>SUM(E15:E18)</f>
        <v>0</v>
      </c>
    </row>
    <row r="20" spans="1:7" ht="31.5" x14ac:dyDescent="0.25">
      <c r="A20" s="273" t="s">
        <v>431</v>
      </c>
      <c r="B20" s="84">
        <f>IF('1.Budsjettinput'!$K$1="Øk. Aktivitet",IF('2. Oppsummering Budsjett'!D29&lt;&gt;" ",('2. Oppsummering Budsjett'!B25+'2. Oppsummering Budsjett'!B26)/1000,-('2. Oppsummering Budsjett'!B25+'2. Oppsummering Budsjett'!B26)/1000),0)</f>
        <v>0</v>
      </c>
      <c r="C20" s="84">
        <f>IF('1.Budsjettinput'!$K$1="Øk. Aktivitet",-('2. Oppsummering Budsjett'!C25+'2. Oppsummering Budsjett'!C26)/1000,0)</f>
        <v>0</v>
      </c>
      <c r="D20" s="84">
        <f>IF('1.Budsjettinput'!$K$1="Øk. Aktivitet",-('2. Oppsummering Budsjett'!D25+'2. Oppsummering Budsjett'!D26)/1000,0)</f>
        <v>0</v>
      </c>
      <c r="E20" s="85">
        <f>SUM(B20:D20)</f>
        <v>0</v>
      </c>
    </row>
    <row r="21" spans="1:7" ht="15.75" x14ac:dyDescent="0.25">
      <c r="A21" s="94"/>
      <c r="B21" s="84"/>
      <c r="C21" s="84"/>
      <c r="D21" s="84"/>
      <c r="E21" s="85"/>
    </row>
    <row r="22" spans="1:7" ht="21" x14ac:dyDescent="0.35">
      <c r="A22" s="83" t="s">
        <v>419</v>
      </c>
      <c r="B22" s="84"/>
      <c r="C22" s="84"/>
      <c r="D22" s="84"/>
      <c r="E22" s="85"/>
    </row>
    <row r="23" spans="1:7" x14ac:dyDescent="0.25">
      <c r="A23" s="95"/>
      <c r="B23" s="102">
        <f>B11</f>
        <v>1900</v>
      </c>
      <c r="C23" s="102">
        <f>B23+1</f>
        <v>1901</v>
      </c>
      <c r="D23" s="102">
        <f>C23+1</f>
        <v>1902</v>
      </c>
      <c r="E23" s="87" t="s">
        <v>154</v>
      </c>
    </row>
    <row r="24" spans="1:7" x14ac:dyDescent="0.25">
      <c r="A24" s="96" t="s">
        <v>113</v>
      </c>
      <c r="B24" s="89">
        <f>-B12</f>
        <v>0</v>
      </c>
      <c r="C24" s="89">
        <f>-C12</f>
        <v>0</v>
      </c>
      <c r="D24" s="89">
        <f>-D12</f>
        <v>0</v>
      </c>
      <c r="E24" s="90">
        <f>SUM(B24:D24)</f>
        <v>0</v>
      </c>
    </row>
    <row r="25" spans="1:7" x14ac:dyDescent="0.25">
      <c r="A25" s="88" t="s">
        <v>361</v>
      </c>
      <c r="B25" s="89">
        <f>-B14</f>
        <v>0</v>
      </c>
      <c r="C25" s="89">
        <f>-C14</f>
        <v>0</v>
      </c>
      <c r="D25" s="89">
        <f>-D14</f>
        <v>0</v>
      </c>
      <c r="E25" s="90">
        <f>SUM(B25:D25)</f>
        <v>0</v>
      </c>
    </row>
    <row r="26" spans="1:7" x14ac:dyDescent="0.25">
      <c r="A26" s="88" t="s">
        <v>156</v>
      </c>
      <c r="B26" s="89">
        <f>-B13</f>
        <v>0</v>
      </c>
      <c r="C26" s="89">
        <f>-C13</f>
        <v>0</v>
      </c>
      <c r="D26" s="89">
        <f>-D13</f>
        <v>0</v>
      </c>
      <c r="E26" s="90">
        <f>SUM(B26:D26)</f>
        <v>0</v>
      </c>
    </row>
    <row r="27" spans="1:7" x14ac:dyDescent="0.25">
      <c r="A27" s="91" t="s">
        <v>157</v>
      </c>
      <c r="B27" s="92">
        <f>SUM(B24:B26)</f>
        <v>0</v>
      </c>
      <c r="C27" s="92">
        <f>SUM(C24:C26)</f>
        <v>0</v>
      </c>
      <c r="D27" s="92">
        <f>SUM(D24:D26)</f>
        <v>0</v>
      </c>
      <c r="E27" s="93">
        <f>SUM(E24:E26)</f>
        <v>0</v>
      </c>
    </row>
    <row r="28" spans="1:7" x14ac:dyDescent="0.25">
      <c r="A28" s="88" t="s">
        <v>158</v>
      </c>
      <c r="B28" s="89">
        <f>-B16</f>
        <v>0</v>
      </c>
      <c r="C28" s="89">
        <f>-C16</f>
        <v>0</v>
      </c>
      <c r="D28" s="89">
        <f>-D16</f>
        <v>0</v>
      </c>
      <c r="E28" s="90">
        <f>SUM(B28:D28)</f>
        <v>0</v>
      </c>
      <c r="F28" s="272"/>
    </row>
    <row r="29" spans="1:7" hidden="1" x14ac:dyDescent="0.25">
      <c r="A29" s="88" t="s">
        <v>155</v>
      </c>
      <c r="B29" s="84"/>
      <c r="C29" s="84"/>
      <c r="D29" s="84"/>
      <c r="E29" s="90">
        <f>SUM(B29:D29)</f>
        <v>0</v>
      </c>
    </row>
    <row r="30" spans="1:7" x14ac:dyDescent="0.25">
      <c r="A30" s="88" t="s">
        <v>332</v>
      </c>
      <c r="B30" s="84"/>
      <c r="C30" s="84"/>
      <c r="D30" s="84"/>
      <c r="E30" s="90">
        <f>SUM(B30:D30)</f>
        <v>0</v>
      </c>
    </row>
    <row r="31" spans="1:7" x14ac:dyDescent="0.25">
      <c r="A31" s="91" t="s">
        <v>159</v>
      </c>
      <c r="B31" s="92">
        <f>SUM(B27:B30)</f>
        <v>0</v>
      </c>
      <c r="C31" s="92">
        <f>SUM(C27:C30)</f>
        <v>0</v>
      </c>
      <c r="D31" s="92">
        <f>SUM(D27:D30)</f>
        <v>0</v>
      </c>
      <c r="E31" s="93">
        <f>SUM(E27:E30)</f>
        <v>0</v>
      </c>
    </row>
    <row r="32" spans="1:7" x14ac:dyDescent="0.25">
      <c r="A32" s="97"/>
      <c r="B32" s="84"/>
      <c r="C32" s="84"/>
      <c r="D32" s="84"/>
      <c r="E32" s="85"/>
    </row>
    <row r="33" spans="1:5" s="172" customFormat="1" x14ac:dyDescent="0.25">
      <c r="A33" s="97"/>
      <c r="B33" s="84"/>
      <c r="C33" s="84"/>
      <c r="D33" s="84"/>
      <c r="E33" s="85"/>
    </row>
    <row r="34" spans="1:5" x14ac:dyDescent="0.25">
      <c r="A34" s="98" t="s">
        <v>334</v>
      </c>
      <c r="B34" s="99">
        <f>'2. Oppsummering Budsjett'!B13/1000</f>
        <v>0</v>
      </c>
      <c r="C34" s="99">
        <f>'2. Oppsummering Budsjett'!C13/1000</f>
        <v>0</v>
      </c>
      <c r="D34" s="99">
        <f>'2. Oppsummering Budsjett'!D13/1000</f>
        <v>0</v>
      </c>
      <c r="E34" s="100">
        <f>SUM(B34:D34)</f>
        <v>0</v>
      </c>
    </row>
    <row r="35" spans="1:5" x14ac:dyDescent="0.25">
      <c r="A35" s="98" t="s">
        <v>335</v>
      </c>
      <c r="B35" s="99">
        <f>'2. Oppsummering Budsjett'!B14/1000</f>
        <v>0</v>
      </c>
      <c r="C35" s="99">
        <f>'2. Oppsummering Budsjett'!C14/1000</f>
        <v>0</v>
      </c>
      <c r="D35" s="99">
        <f>'2. Oppsummering Budsjett'!D14/1000</f>
        <v>0</v>
      </c>
      <c r="E35" s="100">
        <f>SUM(B35:D35)</f>
        <v>0</v>
      </c>
    </row>
    <row r="37" spans="1:5" x14ac:dyDescent="0.25">
      <c r="A37" s="98" t="s">
        <v>160</v>
      </c>
      <c r="B37" s="99">
        <f>('2. Oppsummering Budsjett'!B11+'2. Oppsummering Budsjett'!B12)/1000</f>
        <v>0</v>
      </c>
      <c r="C37" s="99">
        <f>('2. Oppsummering Budsjett'!C11+'2. Oppsummering Budsjett'!C12)/1000</f>
        <v>0</v>
      </c>
      <c r="D37" s="99">
        <f>('2. Oppsummering Budsjett'!D11+'2. Oppsummering Budsjett'!D12)/1000</f>
        <v>0</v>
      </c>
      <c r="E37" s="100">
        <f>SUM(B37:D37)</f>
        <v>0</v>
      </c>
    </row>
    <row r="38" spans="1:5" s="172" customFormat="1" x14ac:dyDescent="0.25">
      <c r="A38" s="193"/>
      <c r="B38" s="99"/>
      <c r="C38" s="99"/>
      <c r="D38" s="99"/>
      <c r="E38" s="194"/>
    </row>
    <row r="39" spans="1:5" ht="18.75" x14ac:dyDescent="0.3">
      <c r="A39" s="339" t="s">
        <v>290</v>
      </c>
      <c r="B39" s="339"/>
      <c r="C39" s="339"/>
      <c r="D39" s="339"/>
    </row>
    <row r="40" spans="1:5" s="172" customFormat="1" ht="18.75" x14ac:dyDescent="0.3">
      <c r="A40" s="192"/>
      <c r="B40" s="192"/>
      <c r="C40" s="192"/>
      <c r="D40" s="192"/>
    </row>
    <row r="41" spans="1:5" ht="18.75" x14ac:dyDescent="0.3">
      <c r="A41" s="171"/>
      <c r="B41" s="172"/>
      <c r="C41" s="172"/>
      <c r="D41" s="172"/>
    </row>
    <row r="42" spans="1:5" ht="19.5" thickBot="1" x14ac:dyDescent="0.35">
      <c r="A42" s="171"/>
      <c r="B42" s="172"/>
      <c r="C42" s="172"/>
      <c r="D42" s="172"/>
      <c r="E42" s="172"/>
    </row>
    <row r="43" spans="1:5" ht="16.5" thickTop="1" x14ac:dyDescent="0.25">
      <c r="A43" s="182" t="s">
        <v>291</v>
      </c>
      <c r="B43" s="172"/>
      <c r="C43" s="182" t="s">
        <v>292</v>
      </c>
      <c r="D43" s="182"/>
      <c r="E43" s="182"/>
    </row>
  </sheetData>
  <mergeCells count="2">
    <mergeCell ref="A39:D39"/>
    <mergeCell ref="C6:D6"/>
  </mergeCells>
  <pageMargins left="0.7" right="0.7" top="0.75" bottom="0.75" header="0.3" footer="0.3"/>
  <pageSetup paperSize="9" scale="72" orientation="landscape"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Ark8"/>
  <dimension ref="A1:BD187"/>
  <sheetViews>
    <sheetView workbookViewId="0">
      <selection activeCell="F13" sqref="F13"/>
    </sheetView>
  </sheetViews>
  <sheetFormatPr defaultColWidth="11.42578125" defaultRowHeight="15" x14ac:dyDescent="0.25"/>
  <cols>
    <col min="2" max="2" width="29.140625" bestFit="1" customWidth="1"/>
    <col min="5" max="5" width="18.140625" bestFit="1" customWidth="1"/>
    <col min="6" max="7" width="18.140625" customWidth="1"/>
    <col min="15" max="17" width="0" hidden="1" customWidth="1"/>
    <col min="19" max="19" width="12.85546875" bestFit="1" customWidth="1"/>
    <col min="31" max="31" width="12.42578125" bestFit="1" customWidth="1"/>
    <col min="50" max="50" width="13.7109375" bestFit="1" customWidth="1"/>
    <col min="51" max="51" width="20.5703125" bestFit="1" customWidth="1"/>
  </cols>
  <sheetData>
    <row r="1" spans="1:56" ht="15" customHeight="1" thickBot="1" x14ac:dyDescent="0.3">
      <c r="A1" s="37" t="s">
        <v>137</v>
      </c>
      <c r="B1" s="38" t="s">
        <v>75</v>
      </c>
      <c r="C1" s="38" t="s">
        <v>65</v>
      </c>
      <c r="D1" s="38" t="s">
        <v>107</v>
      </c>
      <c r="E1" s="38" t="s">
        <v>113</v>
      </c>
      <c r="F1" s="39" t="s">
        <v>115</v>
      </c>
      <c r="H1" s="342" t="s">
        <v>468</v>
      </c>
      <c r="I1" s="343"/>
      <c r="J1" s="343"/>
      <c r="K1" s="343"/>
      <c r="L1" s="343"/>
      <c r="M1" s="282" t="s">
        <v>133</v>
      </c>
      <c r="N1" s="52">
        <v>2022</v>
      </c>
      <c r="O1" s="51"/>
      <c r="P1" s="52">
        <v>2016</v>
      </c>
      <c r="Q1" s="39"/>
    </row>
    <row r="2" spans="1:56" ht="15.75" thickBot="1" x14ac:dyDescent="0.3">
      <c r="A2" s="26">
        <v>1</v>
      </c>
      <c r="B2" s="1" t="s">
        <v>40</v>
      </c>
      <c r="C2" s="1">
        <v>79</v>
      </c>
      <c r="D2" s="1">
        <v>1</v>
      </c>
      <c r="E2" s="40">
        <f t="shared" ref="E2:E12" si="0">VLOOKUP(F2,$S$13:$X$27,6,FALSE)*VLOOKUP(C2,H:Q,5,FALSE)</f>
        <v>402391.69184307696</v>
      </c>
      <c r="F2" s="34" t="str">
        <f t="shared" ref="F2:F12" si="1">IF(D2=1,VLOOKUP(C2,$AB$5:$AF$88,2,FALSE),VLOOKUP(C2,$AB$5:$AF$88,4,FALSE))</f>
        <v>Forsker 3</v>
      </c>
      <c r="H2" s="53" t="s">
        <v>67</v>
      </c>
      <c r="I2" s="54"/>
      <c r="J2" s="54"/>
      <c r="K2" s="117" t="s">
        <v>68</v>
      </c>
      <c r="L2" s="117"/>
      <c r="M2" s="117"/>
      <c r="N2" s="117"/>
      <c r="O2" s="54"/>
      <c r="P2" s="6"/>
      <c r="Q2" s="34"/>
      <c r="S2" s="60" t="s">
        <v>134</v>
      </c>
      <c r="T2" s="61"/>
      <c r="U2" s="61"/>
      <c r="V2" s="61"/>
      <c r="W2" s="61"/>
      <c r="X2" s="61"/>
      <c r="Y2" s="61"/>
      <c r="Z2" s="62">
        <v>2022</v>
      </c>
      <c r="AB2" s="346" t="s">
        <v>271</v>
      </c>
      <c r="AC2" s="347"/>
      <c r="AD2" s="347"/>
      <c r="AE2" s="347"/>
      <c r="AF2" s="348"/>
      <c r="AP2" s="349" t="s">
        <v>147</v>
      </c>
      <c r="AQ2" s="351"/>
      <c r="AR2" s="350"/>
      <c r="AT2" s="349" t="s">
        <v>148</v>
      </c>
      <c r="AU2" s="351"/>
      <c r="AV2" s="350"/>
      <c r="AX2" s="67" t="s">
        <v>109</v>
      </c>
      <c r="AY2" s="67" t="s">
        <v>135</v>
      </c>
      <c r="BA2" s="82" t="s">
        <v>151</v>
      </c>
      <c r="BC2" s="349" t="s">
        <v>441</v>
      </c>
      <c r="BD2" s="350"/>
    </row>
    <row r="3" spans="1:56" ht="45.75" thickBot="1" x14ac:dyDescent="0.3">
      <c r="A3" s="26">
        <v>2</v>
      </c>
      <c r="B3" s="1" t="s">
        <v>19</v>
      </c>
      <c r="C3" s="1">
        <v>68</v>
      </c>
      <c r="D3" s="1">
        <v>1</v>
      </c>
      <c r="E3" s="40">
        <f t="shared" si="0"/>
        <v>314489.64165230771</v>
      </c>
      <c r="F3" s="34" t="str">
        <f t="shared" si="1"/>
        <v>Forsker 4</v>
      </c>
      <c r="H3" s="118" t="s">
        <v>69</v>
      </c>
      <c r="I3" s="119" t="s">
        <v>70</v>
      </c>
      <c r="J3" s="119" t="s">
        <v>66</v>
      </c>
      <c r="K3" s="119" t="s">
        <v>71</v>
      </c>
      <c r="L3" s="119" t="s">
        <v>104</v>
      </c>
      <c r="M3" s="119" t="s">
        <v>105</v>
      </c>
      <c r="N3" s="119" t="s">
        <v>106</v>
      </c>
      <c r="O3" s="119" t="s">
        <v>72</v>
      </c>
      <c r="P3" s="119" t="s">
        <v>73</v>
      </c>
      <c r="Q3" s="120" t="s">
        <v>74</v>
      </c>
      <c r="S3" s="43"/>
      <c r="T3" s="344" t="s">
        <v>16</v>
      </c>
      <c r="U3" s="344"/>
      <c r="V3" s="344"/>
      <c r="W3" s="344" t="s">
        <v>76</v>
      </c>
      <c r="X3" s="344"/>
      <c r="Y3" s="344"/>
      <c r="Z3" s="8"/>
      <c r="AB3" s="112" t="s">
        <v>272</v>
      </c>
      <c r="AC3" s="344" t="s">
        <v>107</v>
      </c>
      <c r="AD3" s="344"/>
      <c r="AE3" s="344" t="s">
        <v>76</v>
      </c>
      <c r="AF3" s="345"/>
      <c r="AH3" s="44"/>
      <c r="AI3" s="45" t="s">
        <v>81</v>
      </c>
      <c r="AJ3" s="45" t="s">
        <v>82</v>
      </c>
      <c r="AK3" s="45" t="s">
        <v>83</v>
      </c>
      <c r="AL3" s="45" t="s">
        <v>84</v>
      </c>
      <c r="AM3" s="45" t="s">
        <v>85</v>
      </c>
      <c r="AN3" s="46" t="s">
        <v>86</v>
      </c>
      <c r="AP3" s="26"/>
      <c r="AQ3" s="69" t="s">
        <v>145</v>
      </c>
      <c r="AR3" s="70" t="s">
        <v>146</v>
      </c>
      <c r="AS3" s="69" t="s">
        <v>289</v>
      </c>
      <c r="AT3" s="26"/>
      <c r="AU3" s="69" t="s">
        <v>145</v>
      </c>
      <c r="AV3" s="70" t="s">
        <v>146</v>
      </c>
      <c r="AX3" s="64" t="s">
        <v>110</v>
      </c>
      <c r="AY3" s="66" t="s">
        <v>314</v>
      </c>
      <c r="BA3" s="66" t="s">
        <v>152</v>
      </c>
      <c r="BC3" s="26">
        <v>2016</v>
      </c>
      <c r="BD3" s="140">
        <v>1004000</v>
      </c>
    </row>
    <row r="4" spans="1:56" ht="15.75" thickBot="1" x14ac:dyDescent="0.3">
      <c r="A4" s="26">
        <v>3</v>
      </c>
      <c r="B4" s="1" t="s">
        <v>62</v>
      </c>
      <c r="C4" s="1">
        <v>61</v>
      </c>
      <c r="D4" s="1">
        <v>1</v>
      </c>
      <c r="E4" s="40">
        <f t="shared" si="0"/>
        <v>278064.4770184615</v>
      </c>
      <c r="F4" s="34" t="str">
        <f t="shared" si="1"/>
        <v>Forsker 5</v>
      </c>
      <c r="H4" s="125">
        <v>1</v>
      </c>
      <c r="I4" s="126">
        <v>1</v>
      </c>
      <c r="J4" s="126"/>
      <c r="K4" s="127">
        <v>1</v>
      </c>
      <c r="L4" s="127">
        <v>0</v>
      </c>
      <c r="M4" s="127">
        <v>0</v>
      </c>
      <c r="N4" s="128">
        <f>M4/K4</f>
        <v>0</v>
      </c>
      <c r="O4" s="129">
        <v>0</v>
      </c>
      <c r="P4" s="130"/>
      <c r="Q4" s="131">
        <v>596.4</v>
      </c>
      <c r="S4" s="9" t="s">
        <v>77</v>
      </c>
      <c r="T4" s="7" t="s">
        <v>78</v>
      </c>
      <c r="U4" s="7" t="s">
        <v>79</v>
      </c>
      <c r="V4" s="7" t="s">
        <v>80</v>
      </c>
      <c r="W4" s="7" t="s">
        <v>78</v>
      </c>
      <c r="X4" s="7" t="s">
        <v>79</v>
      </c>
      <c r="Y4" s="7" t="s">
        <v>80</v>
      </c>
      <c r="Z4" s="8" t="s">
        <v>68</v>
      </c>
      <c r="AB4" s="26" t="s">
        <v>65</v>
      </c>
      <c r="AC4" s="1" t="s">
        <v>77</v>
      </c>
      <c r="AD4" s="1" t="s">
        <v>162</v>
      </c>
      <c r="AE4" s="1" t="s">
        <v>77</v>
      </c>
      <c r="AF4" s="34" t="s">
        <v>162</v>
      </c>
      <c r="AH4" s="141" t="s">
        <v>87</v>
      </c>
      <c r="AI4" s="142">
        <v>1972.40371</v>
      </c>
      <c r="AJ4" s="143">
        <v>0.88955455965578756</v>
      </c>
      <c r="AK4" s="144">
        <v>248.56624206271107</v>
      </c>
      <c r="AL4" s="142">
        <v>3546.446379999999</v>
      </c>
      <c r="AM4" s="143">
        <v>0.79451777270940527</v>
      </c>
      <c r="AN4" s="145">
        <v>115.87922926985996</v>
      </c>
      <c r="AP4" s="63">
        <f>Z2</f>
        <v>2022</v>
      </c>
      <c r="AQ4" s="170">
        <f>AR4</f>
        <v>1.0149999999999999</v>
      </c>
      <c r="AR4" s="167">
        <v>1.0149999999999999</v>
      </c>
      <c r="AS4" s="165">
        <f t="shared" ref="AS4:AS33" si="2">$E$67*AQ4</f>
        <v>497349.99999999994</v>
      </c>
      <c r="AT4" s="63">
        <f>AP4</f>
        <v>2022</v>
      </c>
      <c r="AU4" s="71">
        <v>1</v>
      </c>
      <c r="AV4" s="292">
        <v>0</v>
      </c>
      <c r="AX4" s="65" t="s">
        <v>111</v>
      </c>
      <c r="AY4" s="66" t="s">
        <v>340</v>
      </c>
      <c r="BA4" s="65" t="s">
        <v>153</v>
      </c>
      <c r="BC4" s="26">
        <v>2017</v>
      </c>
      <c r="BD4" s="140">
        <v>1039000</v>
      </c>
    </row>
    <row r="5" spans="1:56" x14ac:dyDescent="0.25">
      <c r="A5" s="26">
        <v>4</v>
      </c>
      <c r="B5" s="1" t="s">
        <v>28</v>
      </c>
      <c r="C5" s="1">
        <v>66</v>
      </c>
      <c r="D5" s="1">
        <v>1</v>
      </c>
      <c r="E5" s="40">
        <f t="shared" si="0"/>
        <v>303752.74739384622</v>
      </c>
      <c r="F5" s="34" t="str">
        <f t="shared" si="1"/>
        <v>Forsker 4</v>
      </c>
      <c r="H5" s="125">
        <v>2</v>
      </c>
      <c r="I5" s="132">
        <v>217400</v>
      </c>
      <c r="J5" s="132"/>
      <c r="K5" s="127">
        <v>217200</v>
      </c>
      <c r="L5" s="127">
        <f t="shared" ref="L5:L21" si="3">((K5*(1-5/52)*1.12+K5*0.13+1329)*1.141)</f>
        <v>284609.02130769234</v>
      </c>
      <c r="M5" s="127">
        <f>L5-K5</f>
        <v>67409.021307692339</v>
      </c>
      <c r="N5" s="128">
        <f t="shared" ref="N5:N68" si="4">M5/K5</f>
        <v>0.31035461007224835</v>
      </c>
      <c r="O5" s="129">
        <v>18100</v>
      </c>
      <c r="P5" s="130"/>
      <c r="Q5" s="131">
        <v>603.4</v>
      </c>
      <c r="S5" s="10">
        <v>7</v>
      </c>
      <c r="T5" s="291">
        <v>283</v>
      </c>
      <c r="U5" s="291">
        <v>587</v>
      </c>
      <c r="V5" s="291">
        <v>33</v>
      </c>
      <c r="W5" s="291">
        <v>351</v>
      </c>
      <c r="X5" s="291">
        <v>448</v>
      </c>
      <c r="Y5" s="291">
        <v>49</v>
      </c>
      <c r="Z5" s="34" t="str">
        <f>W21</f>
        <v>&lt; 479'</v>
      </c>
      <c r="AB5" s="26">
        <v>18</v>
      </c>
      <c r="AC5" s="172" t="s">
        <v>117</v>
      </c>
      <c r="AD5" s="13">
        <f>VLOOKUP(AC5,$S$21:$X$27,6,FALSE)</f>
        <v>0.4</v>
      </c>
      <c r="AE5" s="172" t="s">
        <v>116</v>
      </c>
      <c r="AF5" s="113">
        <f>VLOOKUP(AE5,$S$14:$X$20,6,FALSE)</f>
        <v>0.4</v>
      </c>
      <c r="AH5" s="141" t="s">
        <v>88</v>
      </c>
      <c r="AI5" s="142">
        <v>126.13533768343812</v>
      </c>
      <c r="AJ5" s="143">
        <v>5.688706840346841E-2</v>
      </c>
      <c r="AK5" s="144">
        <v>11.382713945699953</v>
      </c>
      <c r="AL5" s="142">
        <v>558.60000000000014</v>
      </c>
      <c r="AM5" s="143">
        <v>0.12514432202848474</v>
      </c>
      <c r="AN5" s="145">
        <v>21.050399419692365</v>
      </c>
      <c r="AP5" s="63">
        <f>AP4+1</f>
        <v>2023</v>
      </c>
      <c r="AQ5" s="76">
        <f>AQ4*AR5</f>
        <v>1.04748</v>
      </c>
      <c r="AR5" s="168">
        <v>1.032</v>
      </c>
      <c r="AS5" s="165">
        <f t="shared" si="2"/>
        <v>513265.2</v>
      </c>
      <c r="AT5" s="63">
        <f>AT4+1</f>
        <v>2023</v>
      </c>
      <c r="AU5" s="76">
        <f>AU4*AV5</f>
        <v>1.032</v>
      </c>
      <c r="AV5" s="168">
        <v>1.032</v>
      </c>
      <c r="AY5" s="66" t="s">
        <v>376</v>
      </c>
      <c r="BC5" s="26">
        <v>2018</v>
      </c>
      <c r="BD5" s="140">
        <v>1067000</v>
      </c>
    </row>
    <row r="6" spans="1:56" x14ac:dyDescent="0.25">
      <c r="A6" s="26">
        <v>5</v>
      </c>
      <c r="B6" s="1" t="s">
        <v>0</v>
      </c>
      <c r="C6" s="1">
        <v>66</v>
      </c>
      <c r="D6" s="1">
        <v>1</v>
      </c>
      <c r="E6" s="40">
        <f t="shared" si="0"/>
        <v>303752.74739384622</v>
      </c>
      <c r="F6" s="34" t="str">
        <f t="shared" si="1"/>
        <v>Forsker 4</v>
      </c>
      <c r="H6" s="125">
        <v>3</v>
      </c>
      <c r="I6" s="132">
        <v>219900</v>
      </c>
      <c r="J6" s="132"/>
      <c r="K6" s="127">
        <v>219700</v>
      </c>
      <c r="L6" s="127">
        <f t="shared" si="3"/>
        <v>287867.45400000003</v>
      </c>
      <c r="M6" s="127">
        <f t="shared" ref="M6:M69" si="5">L6-K6</f>
        <v>68167.454000000027</v>
      </c>
      <c r="N6" s="128">
        <f t="shared" si="4"/>
        <v>0.31027516613563966</v>
      </c>
      <c r="O6" s="129">
        <v>18308.399999999998</v>
      </c>
      <c r="P6" s="130"/>
      <c r="Q6" s="131">
        <v>610.30000000000007</v>
      </c>
      <c r="S6" s="10">
        <v>6</v>
      </c>
      <c r="T6" s="291">
        <v>413</v>
      </c>
      <c r="U6" s="291">
        <v>718</v>
      </c>
      <c r="V6" s="291">
        <v>59</v>
      </c>
      <c r="W6" s="291">
        <v>414</v>
      </c>
      <c r="X6" s="291">
        <v>511</v>
      </c>
      <c r="Y6" s="291">
        <v>59</v>
      </c>
      <c r="Z6" s="34" t="str">
        <f t="shared" ref="Z6:Z11" si="6">W22</f>
        <v>479'-547'</v>
      </c>
      <c r="AB6" s="26">
        <v>19</v>
      </c>
      <c r="AC6" s="172" t="s">
        <v>117</v>
      </c>
      <c r="AD6" s="13">
        <f t="shared" ref="AD6:AD69" si="7">VLOOKUP(AC6,$S$21:$X$27,6,FALSE)</f>
        <v>0.4</v>
      </c>
      <c r="AE6" s="172" t="s">
        <v>116</v>
      </c>
      <c r="AF6" s="113">
        <f t="shared" ref="AF6:AF69" si="8">VLOOKUP(AE6,$S$14:$X$20,6,FALSE)</f>
        <v>0.4</v>
      </c>
      <c r="AH6" s="141" t="s">
        <v>89</v>
      </c>
      <c r="AI6" s="142">
        <v>71.462217681792737</v>
      </c>
      <c r="AJ6" s="143">
        <v>3.2229477798920367E-2</v>
      </c>
      <c r="AK6" s="144">
        <v>6.8994087999620151</v>
      </c>
      <c r="AL6" s="142">
        <v>203.00000000000003</v>
      </c>
      <c r="AM6" s="143">
        <v>4.5478513017870398E-2</v>
      </c>
      <c r="AN6" s="145">
        <v>5.3087192707883242</v>
      </c>
      <c r="AP6" s="63">
        <f>AP5+1</f>
        <v>2024</v>
      </c>
      <c r="AQ6" s="76">
        <f t="shared" ref="AQ6:AQ33" si="9">AQ5*AR6</f>
        <v>1.0789044000000001</v>
      </c>
      <c r="AR6" s="168">
        <v>1.03</v>
      </c>
      <c r="AS6" s="165">
        <f t="shared" si="2"/>
        <v>528663.15600000008</v>
      </c>
      <c r="AT6" s="63">
        <f>AT5+1</f>
        <v>2024</v>
      </c>
      <c r="AU6" s="76">
        <f t="shared" ref="AU6:AU33" si="10">AU5*AV6</f>
        <v>1.0629600000000001</v>
      </c>
      <c r="AV6" s="168">
        <v>1.03</v>
      </c>
      <c r="AY6" s="66" t="s">
        <v>378</v>
      </c>
      <c r="BC6" s="26">
        <v>2019</v>
      </c>
      <c r="BD6" s="140">
        <v>1095000</v>
      </c>
    </row>
    <row r="7" spans="1:56" x14ac:dyDescent="0.25">
      <c r="A7" s="26">
        <v>6</v>
      </c>
      <c r="B7" s="1" t="s">
        <v>24</v>
      </c>
      <c r="C7" s="1">
        <v>67</v>
      </c>
      <c r="D7" s="1">
        <v>1</v>
      </c>
      <c r="E7" s="40">
        <f t="shared" si="0"/>
        <v>309321.88413538475</v>
      </c>
      <c r="F7" s="34" t="str">
        <f t="shared" si="1"/>
        <v>Forsker 4</v>
      </c>
      <c r="H7" s="125">
        <v>4</v>
      </c>
      <c r="I7" s="132">
        <v>222400</v>
      </c>
      <c r="J7" s="132"/>
      <c r="K7" s="127">
        <v>222200</v>
      </c>
      <c r="L7" s="127">
        <f t="shared" si="3"/>
        <v>291125.88669230771</v>
      </c>
      <c r="M7" s="127">
        <f t="shared" si="5"/>
        <v>68925.886692307715</v>
      </c>
      <c r="N7" s="128">
        <f t="shared" si="4"/>
        <v>0.31019750986637135</v>
      </c>
      <c r="O7" s="129">
        <v>18516.699999999997</v>
      </c>
      <c r="P7" s="130"/>
      <c r="Q7" s="131">
        <v>617.30000000000007</v>
      </c>
      <c r="S7" s="10">
        <v>5</v>
      </c>
      <c r="T7" s="291">
        <v>467</v>
      </c>
      <c r="U7" s="291">
        <v>773</v>
      </c>
      <c r="V7" s="291">
        <v>66</v>
      </c>
      <c r="W7" s="291">
        <v>462</v>
      </c>
      <c r="X7" s="291">
        <v>559</v>
      </c>
      <c r="Y7" s="291">
        <v>65</v>
      </c>
      <c r="Z7" s="34" t="str">
        <f t="shared" si="6"/>
        <v>547'-617'</v>
      </c>
      <c r="AB7" s="26">
        <v>20</v>
      </c>
      <c r="AC7" s="172" t="s">
        <v>117</v>
      </c>
      <c r="AD7" s="13">
        <f t="shared" si="7"/>
        <v>0.4</v>
      </c>
      <c r="AE7" s="172" t="s">
        <v>116</v>
      </c>
      <c r="AF7" s="113">
        <f t="shared" si="8"/>
        <v>0.4</v>
      </c>
      <c r="AH7" s="141" t="s">
        <v>90</v>
      </c>
      <c r="AI7" s="142">
        <v>47.29242234653784</v>
      </c>
      <c r="AJ7" s="143">
        <v>2.132889414182353E-2</v>
      </c>
      <c r="AK7" s="144">
        <v>7.3245118494470649</v>
      </c>
      <c r="AL7" s="142">
        <v>155.60000000000002</v>
      </c>
      <c r="AM7" s="143">
        <v>3.4859392244239576E-2</v>
      </c>
      <c r="AN7" s="145">
        <v>7.0243743906128824</v>
      </c>
      <c r="AP7" s="63">
        <f t="shared" ref="AP7:AP33" si="11">AP6+1</f>
        <v>2025</v>
      </c>
      <c r="AQ7" s="76">
        <f t="shared" si="9"/>
        <v>1.1112715320000002</v>
      </c>
      <c r="AR7" s="168">
        <v>1.03</v>
      </c>
      <c r="AS7" s="165">
        <f t="shared" si="2"/>
        <v>544523.0506800001</v>
      </c>
      <c r="AT7" s="63">
        <f t="shared" ref="AT7:AT33" si="12">AT6+1</f>
        <v>2025</v>
      </c>
      <c r="AU7" s="76">
        <f t="shared" si="10"/>
        <v>1.0948488000000001</v>
      </c>
      <c r="AV7" s="168">
        <v>1.03</v>
      </c>
      <c r="AY7" s="66" t="s">
        <v>316</v>
      </c>
      <c r="BC7" s="26">
        <v>2020</v>
      </c>
      <c r="BD7" s="140">
        <v>1125000</v>
      </c>
    </row>
    <row r="8" spans="1:56" x14ac:dyDescent="0.25">
      <c r="A8" s="26">
        <v>7</v>
      </c>
      <c r="B8" s="1" t="s">
        <v>11</v>
      </c>
      <c r="C8" s="1">
        <v>77</v>
      </c>
      <c r="D8" s="1">
        <v>1</v>
      </c>
      <c r="E8" s="40">
        <f t="shared" si="0"/>
        <v>378058.07635076926</v>
      </c>
      <c r="F8" s="34" t="str">
        <f t="shared" si="1"/>
        <v>Forsker 3</v>
      </c>
      <c r="H8" s="125">
        <v>5</v>
      </c>
      <c r="I8" s="132">
        <v>224900</v>
      </c>
      <c r="J8" s="132"/>
      <c r="K8" s="127">
        <v>224700</v>
      </c>
      <c r="L8" s="127">
        <f t="shared" si="3"/>
        <v>294384.3193846154</v>
      </c>
      <c r="M8" s="127">
        <f t="shared" si="5"/>
        <v>69684.319384615403</v>
      </c>
      <c r="N8" s="128">
        <f t="shared" si="4"/>
        <v>0.31012158159597419</v>
      </c>
      <c r="O8" s="129">
        <v>18725</v>
      </c>
      <c r="P8" s="130"/>
      <c r="Q8" s="131">
        <v>624.20000000000005</v>
      </c>
      <c r="S8" s="10">
        <v>4</v>
      </c>
      <c r="T8" s="291">
        <v>525</v>
      </c>
      <c r="U8" s="291">
        <v>831</v>
      </c>
      <c r="V8" s="291">
        <v>72</v>
      </c>
      <c r="W8" s="291">
        <v>520</v>
      </c>
      <c r="X8" s="291">
        <v>617</v>
      </c>
      <c r="Y8" s="291">
        <v>71</v>
      </c>
      <c r="Z8" s="34" t="str">
        <f t="shared" si="6"/>
        <v>617'-700'</v>
      </c>
      <c r="AB8" s="26">
        <v>21</v>
      </c>
      <c r="AC8" s="172" t="s">
        <v>117</v>
      </c>
      <c r="AD8" s="13">
        <f t="shared" si="7"/>
        <v>0.4</v>
      </c>
      <c r="AE8" s="172" t="s">
        <v>116</v>
      </c>
      <c r="AF8" s="113">
        <f t="shared" si="8"/>
        <v>0.4</v>
      </c>
      <c r="AH8" s="146" t="s">
        <v>91</v>
      </c>
      <c r="AI8" s="147">
        <v>2217.2936877117691</v>
      </c>
      <c r="AJ8" s="148">
        <v>0.99999999999999989</v>
      </c>
      <c r="AK8" s="149">
        <v>274.1728766578201</v>
      </c>
      <c r="AL8" s="147">
        <v>4463.6463799999992</v>
      </c>
      <c r="AM8" s="148">
        <v>1</v>
      </c>
      <c r="AN8" s="150">
        <v>149.26272235095351</v>
      </c>
      <c r="AP8" s="63">
        <f t="shared" si="11"/>
        <v>2026</v>
      </c>
      <c r="AQ8" s="76">
        <f t="shared" si="9"/>
        <v>1.1446096779600001</v>
      </c>
      <c r="AR8" s="168">
        <f t="shared" ref="AR8:AR33" si="13">AR7</f>
        <v>1.03</v>
      </c>
      <c r="AS8" s="165">
        <f t="shared" si="2"/>
        <v>560858.7422004001</v>
      </c>
      <c r="AT8" s="63">
        <f t="shared" si="12"/>
        <v>2026</v>
      </c>
      <c r="AU8" s="76">
        <f t="shared" si="10"/>
        <v>1.1276942640000001</v>
      </c>
      <c r="AV8" s="168">
        <f t="shared" ref="AV8:AV33" si="14">AV7</f>
        <v>1.03</v>
      </c>
      <c r="AY8" s="66" t="s">
        <v>317</v>
      </c>
      <c r="BC8" s="26">
        <v>2021</v>
      </c>
      <c r="BD8" s="140">
        <v>1156000</v>
      </c>
    </row>
    <row r="9" spans="1:56" x14ac:dyDescent="0.25">
      <c r="A9" s="26">
        <v>8</v>
      </c>
      <c r="B9" s="1" t="s">
        <v>16</v>
      </c>
      <c r="C9" s="1">
        <v>61</v>
      </c>
      <c r="D9" s="1">
        <v>1</v>
      </c>
      <c r="E9" s="40">
        <f t="shared" si="0"/>
        <v>278064.4770184615</v>
      </c>
      <c r="F9" s="34" t="str">
        <f t="shared" si="1"/>
        <v>Forsker 5</v>
      </c>
      <c r="H9" s="125">
        <v>6</v>
      </c>
      <c r="I9" s="132">
        <v>227400</v>
      </c>
      <c r="J9" s="132"/>
      <c r="K9" s="127">
        <v>227200</v>
      </c>
      <c r="L9" s="127">
        <f t="shared" si="3"/>
        <v>297642.75207692309</v>
      </c>
      <c r="M9" s="127">
        <f t="shared" si="5"/>
        <v>70442.75207692309</v>
      </c>
      <c r="N9" s="128">
        <f t="shared" si="4"/>
        <v>0.31004732428223192</v>
      </c>
      <c r="O9" s="129">
        <v>18933.399999999998</v>
      </c>
      <c r="P9" s="130"/>
      <c r="Q9" s="131">
        <v>631.20000000000005</v>
      </c>
      <c r="S9" s="10">
        <v>3</v>
      </c>
      <c r="T9" s="291">
        <v>606</v>
      </c>
      <c r="U9" s="291">
        <v>913</v>
      </c>
      <c r="V9" s="291">
        <v>78</v>
      </c>
      <c r="W9" s="291">
        <v>599</v>
      </c>
      <c r="X9" s="291">
        <v>696</v>
      </c>
      <c r="Y9" s="291">
        <v>78</v>
      </c>
      <c r="Z9" s="34" t="str">
        <f t="shared" si="6"/>
        <v>700'-826'</v>
      </c>
      <c r="AB9" s="26">
        <v>22</v>
      </c>
      <c r="AC9" s="172" t="s">
        <v>117</v>
      </c>
      <c r="AD9" s="13">
        <f t="shared" si="7"/>
        <v>0.4</v>
      </c>
      <c r="AE9" s="172" t="s">
        <v>116</v>
      </c>
      <c r="AF9" s="113">
        <f t="shared" si="8"/>
        <v>0.4</v>
      </c>
      <c r="AH9" s="47" t="s">
        <v>92</v>
      </c>
      <c r="AI9" s="1"/>
      <c r="AJ9" s="1"/>
      <c r="AK9" s="48">
        <v>172</v>
      </c>
      <c r="AL9" s="1"/>
      <c r="AM9" s="1"/>
      <c r="AN9" s="49">
        <v>95</v>
      </c>
      <c r="AP9" s="63">
        <f t="shared" si="11"/>
        <v>2027</v>
      </c>
      <c r="AQ9" s="76">
        <f t="shared" si="9"/>
        <v>1.1789479682988002</v>
      </c>
      <c r="AR9" s="168">
        <f t="shared" si="13"/>
        <v>1.03</v>
      </c>
      <c r="AS9" s="165">
        <f t="shared" si="2"/>
        <v>577684.50446641212</v>
      </c>
      <c r="AT9" s="63">
        <f t="shared" si="12"/>
        <v>2027</v>
      </c>
      <c r="AU9" s="76">
        <f t="shared" si="10"/>
        <v>1.1615250919200002</v>
      </c>
      <c r="AV9" s="168">
        <f t="shared" si="14"/>
        <v>1.03</v>
      </c>
      <c r="AX9" s="172"/>
      <c r="AY9" s="80" t="s">
        <v>377</v>
      </c>
      <c r="BC9" s="26">
        <v>2022</v>
      </c>
      <c r="BD9" s="140">
        <v>1187000</v>
      </c>
    </row>
    <row r="10" spans="1:56" ht="15.75" thickBot="1" x14ac:dyDescent="0.3">
      <c r="A10" s="26">
        <v>9</v>
      </c>
      <c r="B10" s="1" t="s">
        <v>29</v>
      </c>
      <c r="C10" s="1">
        <v>59</v>
      </c>
      <c r="D10" s="1">
        <v>1</v>
      </c>
      <c r="E10" s="40">
        <f t="shared" si="0"/>
        <v>268481.54803076928</v>
      </c>
      <c r="F10" s="34" t="str">
        <f t="shared" si="1"/>
        <v>Forsker 6</v>
      </c>
      <c r="H10" s="125">
        <v>7</v>
      </c>
      <c r="I10" s="132">
        <v>229900</v>
      </c>
      <c r="J10" s="132"/>
      <c r="K10" s="127">
        <v>229700</v>
      </c>
      <c r="L10" s="127">
        <f t="shared" si="3"/>
        <v>300901.18476923078</v>
      </c>
      <c r="M10" s="127">
        <f t="shared" si="5"/>
        <v>71201.184769230778</v>
      </c>
      <c r="N10" s="128">
        <f t="shared" si="4"/>
        <v>0.30997468336626371</v>
      </c>
      <c r="O10" s="129">
        <v>19141.699999999997</v>
      </c>
      <c r="P10" s="130"/>
      <c r="Q10" s="131">
        <v>638.1</v>
      </c>
      <c r="S10" s="10">
        <v>2</v>
      </c>
      <c r="T10" s="291">
        <v>725</v>
      </c>
      <c r="U10" s="291">
        <v>1033</v>
      </c>
      <c r="V10" s="291">
        <v>85</v>
      </c>
      <c r="W10" s="291">
        <v>752</v>
      </c>
      <c r="X10" s="291">
        <v>849</v>
      </c>
      <c r="Y10" s="291">
        <v>86</v>
      </c>
      <c r="Z10" s="34" t="str">
        <f t="shared" si="6"/>
        <v>826'-1.094'</v>
      </c>
      <c r="AB10" s="26">
        <v>23</v>
      </c>
      <c r="AC10" s="172" t="s">
        <v>117</v>
      </c>
      <c r="AD10" s="13">
        <f t="shared" si="7"/>
        <v>0.4</v>
      </c>
      <c r="AE10" s="172" t="s">
        <v>116</v>
      </c>
      <c r="AF10" s="113">
        <f t="shared" si="8"/>
        <v>0.4</v>
      </c>
      <c r="AH10" s="26"/>
      <c r="AI10" s="1"/>
      <c r="AJ10" s="1"/>
      <c r="AK10" s="1"/>
      <c r="AL10" s="1"/>
      <c r="AM10" s="1"/>
      <c r="AN10" s="34"/>
      <c r="AP10" s="63">
        <f t="shared" si="11"/>
        <v>2028</v>
      </c>
      <c r="AQ10" s="76">
        <f t="shared" si="9"/>
        <v>1.2143164073477644</v>
      </c>
      <c r="AR10" s="168">
        <f t="shared" si="13"/>
        <v>1.03</v>
      </c>
      <c r="AS10" s="165">
        <f t="shared" si="2"/>
        <v>595015.03960040456</v>
      </c>
      <c r="AT10" s="63">
        <f t="shared" si="12"/>
        <v>2028</v>
      </c>
      <c r="AU10" s="76">
        <f t="shared" si="10"/>
        <v>1.1963708446776002</v>
      </c>
      <c r="AV10" s="168">
        <f t="shared" si="14"/>
        <v>1.03</v>
      </c>
      <c r="AY10" s="65" t="s">
        <v>136</v>
      </c>
      <c r="BC10" s="26">
        <v>2023</v>
      </c>
      <c r="BD10" s="140">
        <v>1220000</v>
      </c>
    </row>
    <row r="11" spans="1:56" ht="15.75" thickBot="1" x14ac:dyDescent="0.3">
      <c r="A11" s="26">
        <v>10</v>
      </c>
      <c r="B11" s="1" t="s">
        <v>39</v>
      </c>
      <c r="C11" s="1">
        <v>62</v>
      </c>
      <c r="D11" s="1">
        <v>1</v>
      </c>
      <c r="E11" s="40">
        <f t="shared" si="0"/>
        <v>283282.40693846153</v>
      </c>
      <c r="F11" s="34" t="str">
        <f t="shared" si="1"/>
        <v>Forsker 5</v>
      </c>
      <c r="H11" s="125">
        <v>8</v>
      </c>
      <c r="I11" s="132">
        <v>232400</v>
      </c>
      <c r="J11" s="132"/>
      <c r="K11" s="127">
        <v>232200</v>
      </c>
      <c r="L11" s="127">
        <f t="shared" si="3"/>
        <v>304159.61746153852</v>
      </c>
      <c r="M11" s="127">
        <f t="shared" si="5"/>
        <v>71959.617461538524</v>
      </c>
      <c r="N11" s="128">
        <f t="shared" si="4"/>
        <v>0.30990360663883948</v>
      </c>
      <c r="O11" s="129">
        <v>19350</v>
      </c>
      <c r="P11" s="130"/>
      <c r="Q11" s="131">
        <v>645</v>
      </c>
      <c r="S11" s="11">
        <v>1</v>
      </c>
      <c r="T11" s="12">
        <v>978</v>
      </c>
      <c r="U11" s="12">
        <v>1289</v>
      </c>
      <c r="V11" s="12">
        <v>98</v>
      </c>
      <c r="W11" s="12">
        <v>1004</v>
      </c>
      <c r="X11" s="12">
        <v>1101</v>
      </c>
      <c r="Y11" s="12">
        <v>99</v>
      </c>
      <c r="Z11" s="166" t="str">
        <f t="shared" si="6"/>
        <v>&gt;1.094'</v>
      </c>
      <c r="AB11" s="26">
        <v>24</v>
      </c>
      <c r="AC11" s="172" t="s">
        <v>117</v>
      </c>
      <c r="AD11" s="13">
        <f t="shared" si="7"/>
        <v>0.4</v>
      </c>
      <c r="AE11" s="172" t="s">
        <v>116</v>
      </c>
      <c r="AF11" s="113">
        <f t="shared" si="8"/>
        <v>0.4</v>
      </c>
      <c r="AH11" s="35" t="s">
        <v>112</v>
      </c>
      <c r="AI11" s="36"/>
      <c r="AJ11" s="36"/>
      <c r="AK11" s="42">
        <v>281000</v>
      </c>
      <c r="AL11" s="36"/>
      <c r="AM11" s="36"/>
      <c r="AN11" s="50">
        <v>146000</v>
      </c>
      <c r="AP11" s="63">
        <f t="shared" si="11"/>
        <v>2029</v>
      </c>
      <c r="AQ11" s="76">
        <f t="shared" si="9"/>
        <v>1.2507458995681973</v>
      </c>
      <c r="AR11" s="168">
        <f t="shared" si="13"/>
        <v>1.03</v>
      </c>
      <c r="AS11" s="165">
        <f t="shared" si="2"/>
        <v>612865.4907884167</v>
      </c>
      <c r="AT11" s="63">
        <f t="shared" si="12"/>
        <v>2029</v>
      </c>
      <c r="AU11" s="76">
        <f t="shared" si="10"/>
        <v>1.2322619700179283</v>
      </c>
      <c r="AV11" s="168">
        <f t="shared" si="14"/>
        <v>1.03</v>
      </c>
      <c r="BC11" s="26">
        <v>2024</v>
      </c>
      <c r="BD11" s="140">
        <v>1265000</v>
      </c>
    </row>
    <row r="12" spans="1:56" ht="15.75" thickBot="1" x14ac:dyDescent="0.3">
      <c r="A12" s="26">
        <v>11</v>
      </c>
      <c r="B12" s="1" t="s">
        <v>57</v>
      </c>
      <c r="C12" s="1">
        <v>57</v>
      </c>
      <c r="D12" s="1">
        <v>1</v>
      </c>
      <c r="E12" s="40">
        <f t="shared" si="0"/>
        <v>259299.9982676924</v>
      </c>
      <c r="F12" s="34" t="str">
        <f t="shared" si="1"/>
        <v>Forsker 6</v>
      </c>
      <c r="H12" s="125">
        <v>9</v>
      </c>
      <c r="I12" s="132">
        <v>234900</v>
      </c>
      <c r="J12" s="132"/>
      <c r="K12" s="127">
        <v>234700</v>
      </c>
      <c r="L12" s="127">
        <f t="shared" si="3"/>
        <v>307418.05015384615</v>
      </c>
      <c r="M12" s="127">
        <f t="shared" si="5"/>
        <v>72718.050153846154</v>
      </c>
      <c r="N12" s="128">
        <f t="shared" si="4"/>
        <v>0.30983404411523713</v>
      </c>
      <c r="O12" s="129">
        <v>19558.399999999998</v>
      </c>
      <c r="P12" s="130"/>
      <c r="Q12" s="131">
        <v>652</v>
      </c>
      <c r="AB12" s="26">
        <v>25</v>
      </c>
      <c r="AC12" s="172" t="s">
        <v>117</v>
      </c>
      <c r="AD12" s="13">
        <f t="shared" si="7"/>
        <v>0.4</v>
      </c>
      <c r="AE12" s="172" t="s">
        <v>116</v>
      </c>
      <c r="AF12" s="113">
        <f t="shared" si="8"/>
        <v>0.4</v>
      </c>
      <c r="AP12" s="63">
        <f t="shared" si="11"/>
        <v>2030</v>
      </c>
      <c r="AQ12" s="76">
        <f t="shared" si="9"/>
        <v>1.2882682765552431</v>
      </c>
      <c r="AR12" s="168">
        <f t="shared" si="13"/>
        <v>1.03</v>
      </c>
      <c r="AS12" s="165">
        <f t="shared" si="2"/>
        <v>631251.45551206917</v>
      </c>
      <c r="AT12" s="63">
        <f t="shared" si="12"/>
        <v>2030</v>
      </c>
      <c r="AU12" s="76">
        <f t="shared" si="10"/>
        <v>1.269229829118466</v>
      </c>
      <c r="AV12" s="168">
        <f t="shared" si="14"/>
        <v>1.03</v>
      </c>
      <c r="AX12" s="67" t="s">
        <v>295</v>
      </c>
      <c r="BC12" s="26">
        <v>2025</v>
      </c>
      <c r="BD12" s="140">
        <f>ROUND((BD11*1.029),-3)</f>
        <v>1302000</v>
      </c>
    </row>
    <row r="13" spans="1:56" ht="15.75" thickBot="1" x14ac:dyDescent="0.3">
      <c r="B13" s="1" t="s">
        <v>41</v>
      </c>
      <c r="C13" s="1">
        <v>71</v>
      </c>
      <c r="D13" s="1">
        <v>1</v>
      </c>
      <c r="E13" s="40">
        <f t="shared" ref="E13:E65" si="15">VLOOKUP(F13,$S$13:$X$27,6,FALSE)*VLOOKUP(C13,H:Q,5,FALSE)</f>
        <v>334357.91327076929</v>
      </c>
      <c r="F13" s="34" t="str">
        <f t="shared" ref="F13:F66" si="16">IF(D13=1,VLOOKUP(C13,$AB$5:$AF$88,2,FALSE),VLOOKUP(C13,$AB$5:$AF$88,4,FALSE))</f>
        <v>Forsker 4</v>
      </c>
      <c r="H13" s="125">
        <v>10</v>
      </c>
      <c r="I13" s="132">
        <v>237400</v>
      </c>
      <c r="J13" s="132"/>
      <c r="K13" s="127">
        <v>237200</v>
      </c>
      <c r="L13" s="127">
        <f t="shared" si="3"/>
        <v>310676.48284615384</v>
      </c>
      <c r="M13" s="127">
        <f t="shared" si="5"/>
        <v>73476.482846153842</v>
      </c>
      <c r="N13" s="128">
        <f t="shared" si="4"/>
        <v>0.30976594791801787</v>
      </c>
      <c r="O13" s="129">
        <v>19766.699999999997</v>
      </c>
      <c r="P13" s="130"/>
      <c r="Q13" s="131">
        <v>658.9</v>
      </c>
      <c r="S13" s="37"/>
      <c r="T13" s="38" t="s">
        <v>78</v>
      </c>
      <c r="U13" s="38" t="s">
        <v>130</v>
      </c>
      <c r="V13" s="38" t="s">
        <v>79</v>
      </c>
      <c r="W13" s="39" t="s">
        <v>68</v>
      </c>
      <c r="X13" s="103" t="s">
        <v>162</v>
      </c>
      <c r="AB13" s="26">
        <v>26</v>
      </c>
      <c r="AC13" s="172" t="s">
        <v>117</v>
      </c>
      <c r="AD13" s="13">
        <f t="shared" si="7"/>
        <v>0.4</v>
      </c>
      <c r="AE13" s="172" t="s">
        <v>116</v>
      </c>
      <c r="AF13" s="113">
        <f t="shared" si="8"/>
        <v>0.4</v>
      </c>
      <c r="AP13" s="63">
        <f t="shared" si="11"/>
        <v>2031</v>
      </c>
      <c r="AQ13" s="76">
        <f t="shared" si="9"/>
        <v>1.3269163248519005</v>
      </c>
      <c r="AR13" s="168">
        <f t="shared" si="13"/>
        <v>1.03</v>
      </c>
      <c r="AS13" s="165">
        <f t="shared" si="2"/>
        <v>650188.99917743122</v>
      </c>
      <c r="AT13" s="63">
        <f t="shared" si="12"/>
        <v>2031</v>
      </c>
      <c r="AU13" s="76">
        <f t="shared" si="10"/>
        <v>1.30730672399202</v>
      </c>
      <c r="AV13" s="168">
        <f t="shared" si="14"/>
        <v>1.03</v>
      </c>
      <c r="AX13" s="64" t="s">
        <v>452</v>
      </c>
      <c r="BC13" s="26">
        <v>2026</v>
      </c>
      <c r="BD13" s="140">
        <f t="shared" ref="BD13:BD32" si="17">ROUND((BD12*1.029),-3)</f>
        <v>1340000</v>
      </c>
    </row>
    <row r="14" spans="1:56" ht="15.75" thickBot="1" x14ac:dyDescent="0.3">
      <c r="B14" s="1" t="s">
        <v>20</v>
      </c>
      <c r="C14" s="1">
        <v>66</v>
      </c>
      <c r="D14" s="1">
        <v>1</v>
      </c>
      <c r="E14" s="40">
        <f>VLOOKUP(F14,$S$13:$X$27,6,FALSE)*VLOOKUP(C14,H:Q,5,FALSE)</f>
        <v>303752.74739384622</v>
      </c>
      <c r="F14" s="34" t="str">
        <f>IF(D14=1,VLOOKUP(C14,$AB$5:$AF$88,2,FALSE),VLOOKUP(C14,$AB$5:$AF$88,4,FALSE))</f>
        <v>Forsker 4</v>
      </c>
      <c r="H14" s="125">
        <v>11</v>
      </c>
      <c r="I14" s="132">
        <v>239900</v>
      </c>
      <c r="J14" s="132"/>
      <c r="K14" s="127">
        <v>239700</v>
      </c>
      <c r="L14" s="127">
        <f t="shared" si="3"/>
        <v>313934.91553846159</v>
      </c>
      <c r="M14" s="127">
        <f t="shared" si="5"/>
        <v>74234.915538461588</v>
      </c>
      <c r="N14" s="128">
        <f t="shared" si="4"/>
        <v>0.30969927216713222</v>
      </c>
      <c r="O14" s="129">
        <v>19975</v>
      </c>
      <c r="P14" s="130"/>
      <c r="Q14" s="131">
        <v>665.9</v>
      </c>
      <c r="S14" s="26" t="s">
        <v>116</v>
      </c>
      <c r="T14" s="283">
        <v>355</v>
      </c>
      <c r="U14" s="116">
        <v>104</v>
      </c>
      <c r="V14" s="116">
        <f>T14+U14</f>
        <v>459</v>
      </c>
      <c r="W14" s="34" t="s">
        <v>461</v>
      </c>
      <c r="X14" s="104">
        <v>0.4</v>
      </c>
      <c r="AB14" s="26">
        <v>27</v>
      </c>
      <c r="AC14" s="172" t="s">
        <v>117</v>
      </c>
      <c r="AD14" s="13">
        <f t="shared" si="7"/>
        <v>0.4</v>
      </c>
      <c r="AE14" s="172" t="s">
        <v>116</v>
      </c>
      <c r="AF14" s="113">
        <f t="shared" si="8"/>
        <v>0.4</v>
      </c>
      <c r="AP14" s="63">
        <f t="shared" si="11"/>
        <v>2032</v>
      </c>
      <c r="AQ14" s="76">
        <f t="shared" si="9"/>
        <v>1.3667238145974576</v>
      </c>
      <c r="AR14" s="168">
        <f t="shared" si="13"/>
        <v>1.03</v>
      </c>
      <c r="AS14" s="165">
        <f t="shared" si="2"/>
        <v>669694.66915275424</v>
      </c>
      <c r="AT14" s="63">
        <f t="shared" si="12"/>
        <v>2032</v>
      </c>
      <c r="AU14" s="76">
        <f t="shared" si="10"/>
        <v>1.3465259257117805</v>
      </c>
      <c r="AV14" s="168">
        <f t="shared" si="14"/>
        <v>1.03</v>
      </c>
      <c r="AX14" s="65" t="s">
        <v>453</v>
      </c>
      <c r="AY14" s="67" t="s">
        <v>296</v>
      </c>
      <c r="BC14" s="26">
        <v>2027</v>
      </c>
      <c r="BD14" s="140">
        <f t="shared" si="17"/>
        <v>1379000</v>
      </c>
    </row>
    <row r="15" spans="1:56" x14ac:dyDescent="0.25">
      <c r="B15" s="1" t="s">
        <v>64</v>
      </c>
      <c r="C15" s="1">
        <v>23</v>
      </c>
      <c r="D15" s="1">
        <v>1</v>
      </c>
      <c r="E15" s="40">
        <f t="shared" si="15"/>
        <v>163320.19118153851</v>
      </c>
      <c r="F15" s="34" t="str">
        <f t="shared" si="16"/>
        <v>Forsker 7</v>
      </c>
      <c r="H15" s="125">
        <v>12</v>
      </c>
      <c r="I15" s="132">
        <v>242400</v>
      </c>
      <c r="J15" s="132"/>
      <c r="K15" s="127">
        <v>242200</v>
      </c>
      <c r="L15" s="127">
        <f t="shared" si="3"/>
        <v>317193.34823076928</v>
      </c>
      <c r="M15" s="127">
        <f t="shared" si="5"/>
        <v>74993.348230769276</v>
      </c>
      <c r="N15" s="128">
        <f t="shared" si="4"/>
        <v>0.30963397287683431</v>
      </c>
      <c r="O15" s="129">
        <v>20183.399999999998</v>
      </c>
      <c r="P15" s="130"/>
      <c r="Q15" s="131">
        <v>672.80000000000007</v>
      </c>
      <c r="S15" s="26" t="s">
        <v>118</v>
      </c>
      <c r="T15" s="283">
        <v>418</v>
      </c>
      <c r="U15" s="116">
        <f t="shared" ref="U15:U20" si="18">$U$14</f>
        <v>104</v>
      </c>
      <c r="V15" s="116">
        <f t="shared" ref="V15:V27" si="19">T15+U15</f>
        <v>522</v>
      </c>
      <c r="W15" s="34" t="s">
        <v>462</v>
      </c>
      <c r="X15" s="104">
        <v>0.4</v>
      </c>
      <c r="AB15" s="26">
        <v>28</v>
      </c>
      <c r="AC15" s="172" t="s">
        <v>117</v>
      </c>
      <c r="AD15" s="13">
        <f t="shared" si="7"/>
        <v>0.4</v>
      </c>
      <c r="AE15" s="172" t="s">
        <v>116</v>
      </c>
      <c r="AF15" s="113">
        <f t="shared" si="8"/>
        <v>0.4</v>
      </c>
      <c r="AP15" s="63">
        <f t="shared" si="11"/>
        <v>2033</v>
      </c>
      <c r="AQ15" s="76">
        <f t="shared" si="9"/>
        <v>1.4077255290353814</v>
      </c>
      <c r="AR15" s="168">
        <f t="shared" si="13"/>
        <v>1.03</v>
      </c>
      <c r="AS15" s="165">
        <f t="shared" si="2"/>
        <v>689785.50922733685</v>
      </c>
      <c r="AT15" s="63">
        <f t="shared" si="12"/>
        <v>2033</v>
      </c>
      <c r="AU15" s="76">
        <f t="shared" si="10"/>
        <v>1.386921703483134</v>
      </c>
      <c r="AV15" s="168">
        <f t="shared" si="14"/>
        <v>1.03</v>
      </c>
      <c r="AY15" s="66" t="s">
        <v>297</v>
      </c>
      <c r="BC15" s="26">
        <v>2028</v>
      </c>
      <c r="BD15" s="140">
        <f t="shared" si="17"/>
        <v>1419000</v>
      </c>
    </row>
    <row r="16" spans="1:56" ht="15.75" thickBot="1" x14ac:dyDescent="0.3">
      <c r="B16" s="1" t="s">
        <v>2</v>
      </c>
      <c r="C16" s="1">
        <v>50</v>
      </c>
      <c r="D16" s="1">
        <v>0</v>
      </c>
      <c r="E16" s="40">
        <f t="shared" si="15"/>
        <v>231805.52138153851</v>
      </c>
      <c r="F16" s="34" t="str">
        <f>IF(D16=1,VLOOKUP(C16,$AB$5:$AF$88,2,FALSE),VLOOKUP(C16,$AB$5:$AF$88,4,FALSE))</f>
        <v>Tekn./Adm. 7</v>
      </c>
      <c r="H16" s="125">
        <v>13</v>
      </c>
      <c r="I16" s="132">
        <v>244900</v>
      </c>
      <c r="J16" s="132"/>
      <c r="K16" s="127">
        <v>244700</v>
      </c>
      <c r="L16" s="127">
        <f t="shared" si="3"/>
        <v>320451.78092307702</v>
      </c>
      <c r="M16" s="127">
        <f t="shared" si="5"/>
        <v>75751.780923077022</v>
      </c>
      <c r="N16" s="128">
        <f t="shared" si="4"/>
        <v>0.30957000785891714</v>
      </c>
      <c r="O16" s="129">
        <v>20391.699999999997</v>
      </c>
      <c r="P16" s="130"/>
      <c r="Q16" s="131">
        <v>679.80000000000007</v>
      </c>
      <c r="S16" s="26" t="s">
        <v>120</v>
      </c>
      <c r="T16" s="283">
        <v>467</v>
      </c>
      <c r="U16" s="116">
        <f t="shared" si="18"/>
        <v>104</v>
      </c>
      <c r="V16" s="116">
        <f t="shared" si="19"/>
        <v>571</v>
      </c>
      <c r="W16" s="34" t="s">
        <v>463</v>
      </c>
      <c r="X16" s="104">
        <v>0.4</v>
      </c>
      <c r="AB16" s="26">
        <v>29</v>
      </c>
      <c r="AC16" s="172" t="s">
        <v>117</v>
      </c>
      <c r="AD16" s="13">
        <f t="shared" si="7"/>
        <v>0.4</v>
      </c>
      <c r="AE16" s="172" t="s">
        <v>116</v>
      </c>
      <c r="AF16" s="113">
        <f t="shared" si="8"/>
        <v>0.4</v>
      </c>
      <c r="AP16" s="63">
        <f t="shared" si="11"/>
        <v>2034</v>
      </c>
      <c r="AQ16" s="76">
        <f t="shared" si="9"/>
        <v>1.449957294906443</v>
      </c>
      <c r="AR16" s="168">
        <f t="shared" si="13"/>
        <v>1.03</v>
      </c>
      <c r="AS16" s="165">
        <f t="shared" si="2"/>
        <v>710479.07450415706</v>
      </c>
      <c r="AT16" s="63">
        <f t="shared" si="12"/>
        <v>2034</v>
      </c>
      <c r="AU16" s="76">
        <f t="shared" si="10"/>
        <v>1.4285293545876281</v>
      </c>
      <c r="AV16" s="168">
        <f t="shared" si="14"/>
        <v>1.03</v>
      </c>
      <c r="AY16" s="65" t="s">
        <v>298</v>
      </c>
      <c r="BC16" s="26">
        <v>2029</v>
      </c>
      <c r="BD16" s="140">
        <f t="shared" si="17"/>
        <v>1460000</v>
      </c>
    </row>
    <row r="17" spans="1:56" ht="15.75" thickBot="1" x14ac:dyDescent="0.3">
      <c r="B17" s="1" t="s">
        <v>43</v>
      </c>
      <c r="C17" s="1">
        <v>68</v>
      </c>
      <c r="D17" s="1">
        <v>0</v>
      </c>
      <c r="E17" s="40">
        <f t="shared" si="15"/>
        <v>314489.64165230771</v>
      </c>
      <c r="F17" s="34" t="str">
        <f t="shared" si="16"/>
        <v>Tekn./Adm. 4</v>
      </c>
      <c r="H17" s="125">
        <v>14</v>
      </c>
      <c r="I17" s="132">
        <v>247400</v>
      </c>
      <c r="J17" s="132"/>
      <c r="K17" s="127">
        <v>247200</v>
      </c>
      <c r="L17" s="127">
        <f t="shared" si="3"/>
        <v>323710.21361538465</v>
      </c>
      <c r="M17" s="127">
        <f t="shared" si="5"/>
        <v>76510.213615384651</v>
      </c>
      <c r="N17" s="128">
        <f t="shared" si="4"/>
        <v>0.30950733663181496</v>
      </c>
      <c r="O17" s="129">
        <v>20600</v>
      </c>
      <c r="P17" s="130"/>
      <c r="Q17" s="131">
        <v>686.7</v>
      </c>
      <c r="S17" s="26" t="s">
        <v>122</v>
      </c>
      <c r="T17" s="283">
        <v>525</v>
      </c>
      <c r="U17" s="116">
        <f t="shared" si="18"/>
        <v>104</v>
      </c>
      <c r="V17" s="116">
        <f t="shared" si="19"/>
        <v>629</v>
      </c>
      <c r="W17" s="34" t="s">
        <v>464</v>
      </c>
      <c r="X17" s="104">
        <v>0.4</v>
      </c>
      <c r="AB17" s="26">
        <v>30</v>
      </c>
      <c r="AC17" s="172" t="s">
        <v>117</v>
      </c>
      <c r="AD17" s="13">
        <f t="shared" si="7"/>
        <v>0.4</v>
      </c>
      <c r="AE17" s="172" t="s">
        <v>116</v>
      </c>
      <c r="AF17" s="113">
        <f t="shared" si="8"/>
        <v>0.4</v>
      </c>
      <c r="AP17" s="63">
        <f t="shared" si="11"/>
        <v>2035</v>
      </c>
      <c r="AQ17" s="76">
        <f t="shared" si="9"/>
        <v>1.4934560137536363</v>
      </c>
      <c r="AR17" s="168">
        <f t="shared" si="13"/>
        <v>1.03</v>
      </c>
      <c r="AS17" s="165">
        <f t="shared" si="2"/>
        <v>731793.44673928176</v>
      </c>
      <c r="AT17" s="63">
        <f t="shared" si="12"/>
        <v>2035</v>
      </c>
      <c r="AU17" s="76">
        <f t="shared" si="10"/>
        <v>1.471385235225257</v>
      </c>
      <c r="AV17" s="168">
        <f t="shared" si="14"/>
        <v>1.03</v>
      </c>
      <c r="BC17" s="26">
        <v>2030</v>
      </c>
      <c r="BD17" s="140">
        <f t="shared" si="17"/>
        <v>1502000</v>
      </c>
    </row>
    <row r="18" spans="1:56" x14ac:dyDescent="0.25">
      <c r="B18" s="1" t="s">
        <v>30</v>
      </c>
      <c r="C18" s="1">
        <v>46</v>
      </c>
      <c r="D18" s="1">
        <v>0</v>
      </c>
      <c r="E18" s="40">
        <f t="shared" si="15"/>
        <v>217054.83487692309</v>
      </c>
      <c r="F18" s="34" t="str">
        <f t="shared" si="16"/>
        <v>Tekn./Adm. 7</v>
      </c>
      <c r="H18" s="125">
        <v>15</v>
      </c>
      <c r="I18" s="132">
        <v>250100</v>
      </c>
      <c r="J18" s="132"/>
      <c r="K18" s="127">
        <v>249900</v>
      </c>
      <c r="L18" s="127">
        <f t="shared" si="3"/>
        <v>327229.320923077</v>
      </c>
      <c r="M18" s="127">
        <f t="shared" si="5"/>
        <v>77329.320923077001</v>
      </c>
      <c r="N18" s="128">
        <f t="shared" si="4"/>
        <v>0.30944106011635453</v>
      </c>
      <c r="O18" s="129">
        <v>20825</v>
      </c>
      <c r="P18" s="130"/>
      <c r="Q18" s="131">
        <v>694.2</v>
      </c>
      <c r="S18" s="26" t="s">
        <v>124</v>
      </c>
      <c r="T18" s="283">
        <v>605</v>
      </c>
      <c r="U18" s="116">
        <f t="shared" si="18"/>
        <v>104</v>
      </c>
      <c r="V18" s="116">
        <f t="shared" si="19"/>
        <v>709</v>
      </c>
      <c r="W18" s="34" t="s">
        <v>465</v>
      </c>
      <c r="X18" s="104">
        <v>0.4</v>
      </c>
      <c r="AB18" s="26">
        <v>31</v>
      </c>
      <c r="AC18" s="172" t="s">
        <v>117</v>
      </c>
      <c r="AD18" s="13">
        <f t="shared" si="7"/>
        <v>0.4</v>
      </c>
      <c r="AE18" s="172" t="s">
        <v>116</v>
      </c>
      <c r="AF18" s="113">
        <f t="shared" si="8"/>
        <v>0.4</v>
      </c>
      <c r="AP18" s="63">
        <f t="shared" si="11"/>
        <v>2036</v>
      </c>
      <c r="AQ18" s="76">
        <f t="shared" si="9"/>
        <v>1.5382596941662454</v>
      </c>
      <c r="AR18" s="168">
        <f t="shared" si="13"/>
        <v>1.03</v>
      </c>
      <c r="AS18" s="165">
        <f t="shared" si="2"/>
        <v>753747.25014146022</v>
      </c>
      <c r="AT18" s="63">
        <f t="shared" si="12"/>
        <v>2036</v>
      </c>
      <c r="AU18" s="76">
        <f t="shared" si="10"/>
        <v>1.5155267922820148</v>
      </c>
      <c r="AV18" s="168">
        <f t="shared" si="14"/>
        <v>1.03</v>
      </c>
      <c r="AX18" s="67" t="s">
        <v>299</v>
      </c>
      <c r="BC18" s="26">
        <v>2031</v>
      </c>
      <c r="BD18" s="140">
        <f t="shared" si="17"/>
        <v>1546000</v>
      </c>
    </row>
    <row r="19" spans="1:56" x14ac:dyDescent="0.25">
      <c r="B19" s="1" t="s">
        <v>26</v>
      </c>
      <c r="C19" s="1">
        <v>19</v>
      </c>
      <c r="D19" s="1">
        <v>0</v>
      </c>
      <c r="E19" s="40">
        <f t="shared" si="15"/>
        <v>155794.33072000003</v>
      </c>
      <c r="F19" s="34" t="str">
        <f t="shared" si="16"/>
        <v>Tekn./Adm. 7</v>
      </c>
      <c r="H19" s="125">
        <v>16</v>
      </c>
      <c r="I19" s="132">
        <v>253200</v>
      </c>
      <c r="J19" s="132"/>
      <c r="K19" s="127">
        <v>253000</v>
      </c>
      <c r="L19" s="127">
        <f t="shared" si="3"/>
        <v>331269.7774615385</v>
      </c>
      <c r="M19" s="127">
        <f t="shared" si="5"/>
        <v>78269.777461538499</v>
      </c>
      <c r="N19" s="128">
        <f t="shared" si="4"/>
        <v>0.30936670933414429</v>
      </c>
      <c r="O19" s="129">
        <v>21083.399999999998</v>
      </c>
      <c r="P19" s="130"/>
      <c r="Q19" s="131">
        <v>702.80000000000007</v>
      </c>
      <c r="S19" s="26" t="s">
        <v>127</v>
      </c>
      <c r="T19" s="283">
        <v>760</v>
      </c>
      <c r="U19" s="116">
        <f t="shared" si="18"/>
        <v>104</v>
      </c>
      <c r="V19" s="116">
        <f t="shared" si="19"/>
        <v>864</v>
      </c>
      <c r="W19" s="34" t="s">
        <v>466</v>
      </c>
      <c r="X19" s="104">
        <v>0.4</v>
      </c>
      <c r="AB19" s="26">
        <v>32</v>
      </c>
      <c r="AC19" s="172" t="s">
        <v>117</v>
      </c>
      <c r="AD19" s="13">
        <f t="shared" si="7"/>
        <v>0.4</v>
      </c>
      <c r="AE19" s="172" t="s">
        <v>116</v>
      </c>
      <c r="AF19" s="113">
        <f t="shared" si="8"/>
        <v>0.4</v>
      </c>
      <c r="AP19" s="63">
        <f t="shared" si="11"/>
        <v>2037</v>
      </c>
      <c r="AQ19" s="76">
        <f t="shared" si="9"/>
        <v>1.5844074849912329</v>
      </c>
      <c r="AR19" s="168">
        <f t="shared" si="13"/>
        <v>1.03</v>
      </c>
      <c r="AS19" s="165">
        <f t="shared" si="2"/>
        <v>776359.66764570412</v>
      </c>
      <c r="AT19" s="63">
        <f t="shared" si="12"/>
        <v>2037</v>
      </c>
      <c r="AU19" s="76">
        <f t="shared" si="10"/>
        <v>1.5609925960504754</v>
      </c>
      <c r="AV19" s="168">
        <f t="shared" si="14"/>
        <v>1.03</v>
      </c>
      <c r="AX19" s="66" t="s">
        <v>300</v>
      </c>
      <c r="BC19" s="26">
        <v>2032</v>
      </c>
      <c r="BD19" s="140">
        <f t="shared" si="17"/>
        <v>1591000</v>
      </c>
    </row>
    <row r="20" spans="1:56" x14ac:dyDescent="0.25">
      <c r="B20" s="1" t="s">
        <v>60</v>
      </c>
      <c r="C20" s="1">
        <v>19</v>
      </c>
      <c r="D20" s="1">
        <v>0</v>
      </c>
      <c r="E20" s="40">
        <f t="shared" si="15"/>
        <v>155794.33072000003</v>
      </c>
      <c r="F20" s="34" t="str">
        <f t="shared" si="16"/>
        <v>Tekn./Adm. 7</v>
      </c>
      <c r="H20" s="125">
        <v>17</v>
      </c>
      <c r="I20" s="132">
        <v>256600</v>
      </c>
      <c r="J20" s="132"/>
      <c r="K20" s="127">
        <v>256400</v>
      </c>
      <c r="L20" s="127">
        <f t="shared" si="3"/>
        <v>335701.24592307699</v>
      </c>
      <c r="M20" s="127">
        <f t="shared" si="5"/>
        <v>79301.245923076989</v>
      </c>
      <c r="N20" s="128">
        <f t="shared" si="4"/>
        <v>0.3092872305892238</v>
      </c>
      <c r="O20" s="129">
        <v>21366.699999999997</v>
      </c>
      <c r="P20" s="130"/>
      <c r="Q20" s="131">
        <v>712.30000000000007</v>
      </c>
      <c r="S20" s="26" t="s">
        <v>128</v>
      </c>
      <c r="T20" s="283">
        <v>1014</v>
      </c>
      <c r="U20" s="116">
        <f t="shared" si="18"/>
        <v>104</v>
      </c>
      <c r="V20" s="116">
        <f t="shared" si="19"/>
        <v>1118</v>
      </c>
      <c r="W20" s="34" t="s">
        <v>467</v>
      </c>
      <c r="X20" s="104">
        <v>0.4</v>
      </c>
      <c r="AB20" s="26">
        <v>33</v>
      </c>
      <c r="AC20" s="172" t="s">
        <v>117</v>
      </c>
      <c r="AD20" s="13">
        <f t="shared" si="7"/>
        <v>0.4</v>
      </c>
      <c r="AE20" s="172" t="s">
        <v>116</v>
      </c>
      <c r="AF20" s="113">
        <f t="shared" si="8"/>
        <v>0.4</v>
      </c>
      <c r="AP20" s="63">
        <f t="shared" si="11"/>
        <v>2038</v>
      </c>
      <c r="AQ20" s="76">
        <f t="shared" si="9"/>
        <v>1.6319397095409698</v>
      </c>
      <c r="AR20" s="168">
        <f t="shared" si="13"/>
        <v>1.03</v>
      </c>
      <c r="AS20" s="165">
        <f t="shared" si="2"/>
        <v>799650.45767507516</v>
      </c>
      <c r="AT20" s="63">
        <f t="shared" si="12"/>
        <v>2038</v>
      </c>
      <c r="AU20" s="76">
        <f t="shared" si="10"/>
        <v>1.6078223739319897</v>
      </c>
      <c r="AV20" s="168">
        <f t="shared" si="14"/>
        <v>1.03</v>
      </c>
      <c r="AX20" s="66" t="s">
        <v>301</v>
      </c>
      <c r="BC20" s="26">
        <v>2033</v>
      </c>
      <c r="BD20" s="140">
        <f t="shared" si="17"/>
        <v>1637000</v>
      </c>
    </row>
    <row r="21" spans="1:56" x14ac:dyDescent="0.25">
      <c r="A21" s="26"/>
      <c r="B21" s="1" t="s">
        <v>35</v>
      </c>
      <c r="C21" s="1">
        <v>21</v>
      </c>
      <c r="D21" s="1">
        <v>0</v>
      </c>
      <c r="E21" s="40">
        <f t="shared" si="15"/>
        <v>159557.26095076927</v>
      </c>
      <c r="F21" s="34" t="str">
        <f t="shared" si="16"/>
        <v>Tekn./Adm. 7</v>
      </c>
      <c r="H21" s="125">
        <v>18</v>
      </c>
      <c r="I21" s="132">
        <v>260000</v>
      </c>
      <c r="J21" s="132"/>
      <c r="K21" s="127">
        <v>259800</v>
      </c>
      <c r="L21" s="127">
        <f t="shared" si="3"/>
        <v>340132.71438461542</v>
      </c>
      <c r="M21" s="127">
        <f t="shared" si="5"/>
        <v>80332.714384615421</v>
      </c>
      <c r="N21" s="128">
        <f t="shared" si="4"/>
        <v>0.30920983211938191</v>
      </c>
      <c r="O21" s="129">
        <v>21650</v>
      </c>
      <c r="P21" s="130"/>
      <c r="Q21" s="131">
        <v>721.7</v>
      </c>
      <c r="S21" s="26" t="s">
        <v>117</v>
      </c>
      <c r="T21" s="283">
        <v>286</v>
      </c>
      <c r="U21" s="116">
        <v>301</v>
      </c>
      <c r="V21" s="116">
        <f t="shared" si="19"/>
        <v>587</v>
      </c>
      <c r="W21" s="34" t="str">
        <f t="shared" ref="W21:W27" si="20">W14</f>
        <v>&lt; 479'</v>
      </c>
      <c r="X21" s="104">
        <v>0.4</v>
      </c>
      <c r="AB21" s="26">
        <v>34</v>
      </c>
      <c r="AC21" s="172" t="s">
        <v>117</v>
      </c>
      <c r="AD21" s="13">
        <f t="shared" si="7"/>
        <v>0.4</v>
      </c>
      <c r="AE21" s="172" t="s">
        <v>116</v>
      </c>
      <c r="AF21" s="113">
        <f t="shared" si="8"/>
        <v>0.4</v>
      </c>
      <c r="AP21" s="63">
        <f t="shared" si="11"/>
        <v>2039</v>
      </c>
      <c r="AQ21" s="76">
        <f t="shared" si="9"/>
        <v>1.6808979008271989</v>
      </c>
      <c r="AR21" s="168">
        <f t="shared" si="13"/>
        <v>1.03</v>
      </c>
      <c r="AS21" s="165">
        <f t="shared" si="2"/>
        <v>823639.97140532744</v>
      </c>
      <c r="AT21" s="63">
        <f t="shared" si="12"/>
        <v>2039</v>
      </c>
      <c r="AU21" s="76">
        <f t="shared" si="10"/>
        <v>1.6560570451499494</v>
      </c>
      <c r="AV21" s="168">
        <f t="shared" si="14"/>
        <v>1.03</v>
      </c>
      <c r="AX21" s="66" t="s">
        <v>302</v>
      </c>
      <c r="BC21" s="26">
        <v>2034</v>
      </c>
      <c r="BD21" s="140">
        <f t="shared" si="17"/>
        <v>1684000</v>
      </c>
    </row>
    <row r="22" spans="1:56" x14ac:dyDescent="0.25">
      <c r="A22" s="26"/>
      <c r="B22" s="1" t="s">
        <v>36</v>
      </c>
      <c r="C22" s="1">
        <v>27</v>
      </c>
      <c r="D22" s="1">
        <v>0</v>
      </c>
      <c r="E22" s="40">
        <f t="shared" si="15"/>
        <v>171598.63768923082</v>
      </c>
      <c r="F22" s="34" t="str">
        <f t="shared" si="16"/>
        <v>Tekn./Adm. 7</v>
      </c>
      <c r="H22" s="55">
        <v>19</v>
      </c>
      <c r="I22" s="293">
        <v>309800</v>
      </c>
      <c r="J22" s="3"/>
      <c r="K22" s="4">
        <f>I22-400</f>
        <v>309400</v>
      </c>
      <c r="L22" s="2">
        <f t="shared" ref="L22:L53" si="21">((K22*(1-5/52)*1.12+K22*0.087+1229)*1.141)</f>
        <v>389485.82680000004</v>
      </c>
      <c r="M22" s="2">
        <f t="shared" si="5"/>
        <v>80085.826800000039</v>
      </c>
      <c r="N22" s="16">
        <f t="shared" si="4"/>
        <v>0.25884236199095034</v>
      </c>
      <c r="O22" s="133"/>
      <c r="P22" s="6"/>
      <c r="Q22" s="134"/>
      <c r="R22" s="135"/>
      <c r="S22" s="26" t="s">
        <v>119</v>
      </c>
      <c r="T22" s="283">
        <v>417</v>
      </c>
      <c r="U22" s="116">
        <f t="shared" ref="U22:U27" si="22">$U$21</f>
        <v>301</v>
      </c>
      <c r="V22" s="116">
        <f t="shared" si="19"/>
        <v>718</v>
      </c>
      <c r="W22" s="34" t="str">
        <f t="shared" si="20"/>
        <v>479'-547'</v>
      </c>
      <c r="X22" s="104">
        <v>0.4</v>
      </c>
      <c r="AB22" s="26">
        <v>35</v>
      </c>
      <c r="AC22" s="172" t="s">
        <v>117</v>
      </c>
      <c r="AD22" s="13">
        <f t="shared" si="7"/>
        <v>0.4</v>
      </c>
      <c r="AE22" s="172" t="s">
        <v>116</v>
      </c>
      <c r="AF22" s="113">
        <f t="shared" si="8"/>
        <v>0.4</v>
      </c>
      <c r="AP22" s="63">
        <f t="shared" si="11"/>
        <v>2040</v>
      </c>
      <c r="AQ22" s="76">
        <f t="shared" si="9"/>
        <v>1.731324837852015</v>
      </c>
      <c r="AR22" s="168">
        <f t="shared" si="13"/>
        <v>1.03</v>
      </c>
      <c r="AS22" s="165">
        <f t="shared" si="2"/>
        <v>848349.17054748733</v>
      </c>
      <c r="AT22" s="63">
        <f t="shared" si="12"/>
        <v>2040</v>
      </c>
      <c r="AU22" s="76">
        <f t="shared" si="10"/>
        <v>1.705738756504448</v>
      </c>
      <c r="AV22" s="168">
        <f t="shared" si="14"/>
        <v>1.03</v>
      </c>
      <c r="AX22" s="66" t="s">
        <v>303</v>
      </c>
      <c r="BC22" s="26">
        <v>2035</v>
      </c>
      <c r="BD22" s="140">
        <f t="shared" si="17"/>
        <v>1733000</v>
      </c>
    </row>
    <row r="23" spans="1:56" x14ac:dyDescent="0.25">
      <c r="A23" s="26"/>
      <c r="B23" s="1" t="s">
        <v>37</v>
      </c>
      <c r="C23" s="1">
        <v>28</v>
      </c>
      <c r="D23" s="1">
        <v>0</v>
      </c>
      <c r="E23" s="40">
        <f t="shared" si="15"/>
        <v>173605.53381230769</v>
      </c>
      <c r="F23" s="34" t="str">
        <f t="shared" si="16"/>
        <v>Tekn./Adm. 7</v>
      </c>
      <c r="H23" s="55">
        <v>20</v>
      </c>
      <c r="I23" s="293">
        <v>313300</v>
      </c>
      <c r="J23" s="3"/>
      <c r="K23" s="4">
        <f t="shared" ref="K23:K86" si="23">I23-400</f>
        <v>312900</v>
      </c>
      <c r="L23" s="2">
        <f t="shared" si="21"/>
        <v>393875.91206923086</v>
      </c>
      <c r="M23" s="2">
        <f t="shared" si="5"/>
        <v>80975.912069230864</v>
      </c>
      <c r="N23" s="16">
        <f t="shared" si="4"/>
        <v>0.25879166528996761</v>
      </c>
      <c r="O23" s="133"/>
      <c r="P23" s="6"/>
      <c r="Q23" s="134"/>
      <c r="R23" s="135"/>
      <c r="S23" s="26" t="s">
        <v>121</v>
      </c>
      <c r="T23" s="283">
        <v>472</v>
      </c>
      <c r="U23" s="116">
        <f t="shared" si="22"/>
        <v>301</v>
      </c>
      <c r="V23" s="116">
        <f t="shared" si="19"/>
        <v>773</v>
      </c>
      <c r="W23" s="34" t="str">
        <f t="shared" si="20"/>
        <v>547'-617'</v>
      </c>
      <c r="X23" s="104">
        <v>0.4</v>
      </c>
      <c r="AB23" s="26">
        <v>36</v>
      </c>
      <c r="AC23" s="172" t="s">
        <v>117</v>
      </c>
      <c r="AD23" s="13">
        <f t="shared" si="7"/>
        <v>0.4</v>
      </c>
      <c r="AE23" s="172" t="s">
        <v>116</v>
      </c>
      <c r="AF23" s="113">
        <f t="shared" si="8"/>
        <v>0.4</v>
      </c>
      <c r="AP23" s="63">
        <f t="shared" si="11"/>
        <v>2041</v>
      </c>
      <c r="AQ23" s="76">
        <f t="shared" si="9"/>
        <v>1.7832645829875755</v>
      </c>
      <c r="AR23" s="168">
        <f t="shared" si="13"/>
        <v>1.03</v>
      </c>
      <c r="AS23" s="165">
        <f t="shared" si="2"/>
        <v>873799.64566391194</v>
      </c>
      <c r="AT23" s="63">
        <f t="shared" si="12"/>
        <v>2041</v>
      </c>
      <c r="AU23" s="76">
        <f t="shared" si="10"/>
        <v>1.7569109191995815</v>
      </c>
      <c r="AV23" s="168">
        <f t="shared" si="14"/>
        <v>1.03</v>
      </c>
      <c r="AX23" s="80" t="s">
        <v>304</v>
      </c>
      <c r="BC23" s="26">
        <v>2036</v>
      </c>
      <c r="BD23" s="140">
        <f t="shared" si="17"/>
        <v>1783000</v>
      </c>
    </row>
    <row r="24" spans="1:56" ht="15.75" thickBot="1" x14ac:dyDescent="0.3">
      <c r="A24" s="26"/>
      <c r="B24" s="1" t="s">
        <v>48</v>
      </c>
      <c r="C24" s="1">
        <v>31</v>
      </c>
      <c r="D24" s="1">
        <v>0</v>
      </c>
      <c r="E24" s="40">
        <f t="shared" si="15"/>
        <v>179325.18776307694</v>
      </c>
      <c r="F24" s="34" t="str">
        <f t="shared" si="16"/>
        <v>Tekn./Adm. 7</v>
      </c>
      <c r="H24" s="55">
        <v>21</v>
      </c>
      <c r="I24" s="293">
        <v>317300</v>
      </c>
      <c r="J24" s="3"/>
      <c r="K24" s="4">
        <f t="shared" si="23"/>
        <v>316900</v>
      </c>
      <c r="L24" s="2">
        <f t="shared" si="21"/>
        <v>398893.15237692313</v>
      </c>
      <c r="M24" s="2">
        <f t="shared" si="5"/>
        <v>81993.152376923128</v>
      </c>
      <c r="N24" s="16">
        <f t="shared" si="4"/>
        <v>0.25873509743427936</v>
      </c>
      <c r="O24" s="133"/>
      <c r="P24" s="6"/>
      <c r="Q24" s="134"/>
      <c r="R24" s="135"/>
      <c r="S24" s="26" t="s">
        <v>123</v>
      </c>
      <c r="T24" s="283">
        <v>530</v>
      </c>
      <c r="U24" s="116">
        <f t="shared" si="22"/>
        <v>301</v>
      </c>
      <c r="V24" s="116">
        <f t="shared" si="19"/>
        <v>831</v>
      </c>
      <c r="W24" s="34" t="str">
        <f t="shared" si="20"/>
        <v>617'-700'</v>
      </c>
      <c r="X24" s="104">
        <v>0.4</v>
      </c>
      <c r="AB24" s="26">
        <v>37</v>
      </c>
      <c r="AC24" s="172" t="s">
        <v>117</v>
      </c>
      <c r="AD24" s="13">
        <f t="shared" si="7"/>
        <v>0.4</v>
      </c>
      <c r="AE24" s="172" t="s">
        <v>116</v>
      </c>
      <c r="AF24" s="113">
        <f t="shared" si="8"/>
        <v>0.4</v>
      </c>
      <c r="AP24" s="63">
        <f t="shared" si="11"/>
        <v>2042</v>
      </c>
      <c r="AQ24" s="76">
        <f t="shared" si="9"/>
        <v>1.8367625204772029</v>
      </c>
      <c r="AR24" s="168">
        <f t="shared" si="13"/>
        <v>1.03</v>
      </c>
      <c r="AS24" s="165">
        <f t="shared" si="2"/>
        <v>900013.63503382937</v>
      </c>
      <c r="AT24" s="63">
        <f t="shared" si="12"/>
        <v>2042</v>
      </c>
      <c r="AU24" s="76">
        <f t="shared" si="10"/>
        <v>1.809618246775569</v>
      </c>
      <c r="AV24" s="168">
        <f t="shared" si="14"/>
        <v>1.03</v>
      </c>
      <c r="AX24" s="65" t="s">
        <v>305</v>
      </c>
      <c r="BC24" s="26">
        <v>2037</v>
      </c>
      <c r="BD24" s="140">
        <f t="shared" si="17"/>
        <v>1835000</v>
      </c>
    </row>
    <row r="25" spans="1:56" x14ac:dyDescent="0.25">
      <c r="A25" s="26"/>
      <c r="B25" s="1" t="s">
        <v>45</v>
      </c>
      <c r="C25" s="1">
        <v>32</v>
      </c>
      <c r="D25" s="1">
        <v>0</v>
      </c>
      <c r="E25" s="40">
        <f t="shared" si="15"/>
        <v>181432.4286923077</v>
      </c>
      <c r="F25" s="34" t="str">
        <f t="shared" si="16"/>
        <v>Tekn./Adm. 7</v>
      </c>
      <c r="H25" s="55">
        <v>22</v>
      </c>
      <c r="I25" s="293">
        <v>320900</v>
      </c>
      <c r="J25" s="3"/>
      <c r="K25" s="4">
        <f t="shared" si="23"/>
        <v>320500</v>
      </c>
      <c r="L25" s="2">
        <f t="shared" si="21"/>
        <v>403408.66865384619</v>
      </c>
      <c r="M25" s="2">
        <f t="shared" si="5"/>
        <v>82908.668653846195</v>
      </c>
      <c r="N25" s="16">
        <f t="shared" si="4"/>
        <v>0.25868539361574477</v>
      </c>
      <c r="O25" s="133"/>
      <c r="P25" s="6"/>
      <c r="Q25" s="134"/>
      <c r="R25" s="135"/>
      <c r="S25" s="26" t="s">
        <v>125</v>
      </c>
      <c r="T25" s="283">
        <v>612</v>
      </c>
      <c r="U25" s="116">
        <f t="shared" si="22"/>
        <v>301</v>
      </c>
      <c r="V25" s="116">
        <f t="shared" si="19"/>
        <v>913</v>
      </c>
      <c r="W25" s="34" t="str">
        <f t="shared" si="20"/>
        <v>700'-826'</v>
      </c>
      <c r="X25" s="104">
        <v>0.4</v>
      </c>
      <c r="AB25" s="26">
        <v>38</v>
      </c>
      <c r="AC25" s="172" t="s">
        <v>117</v>
      </c>
      <c r="AD25" s="13">
        <f t="shared" si="7"/>
        <v>0.4</v>
      </c>
      <c r="AE25" s="172" t="s">
        <v>116</v>
      </c>
      <c r="AF25" s="113">
        <f t="shared" si="8"/>
        <v>0.4</v>
      </c>
      <c r="AP25" s="63">
        <f t="shared" si="11"/>
        <v>2043</v>
      </c>
      <c r="AQ25" s="76">
        <f t="shared" si="9"/>
        <v>1.891865396091519</v>
      </c>
      <c r="AR25" s="168">
        <f t="shared" si="13"/>
        <v>1.03</v>
      </c>
      <c r="AS25" s="165">
        <f t="shared" si="2"/>
        <v>927014.0440848443</v>
      </c>
      <c r="AT25" s="63">
        <f t="shared" si="12"/>
        <v>2043</v>
      </c>
      <c r="AU25" s="76">
        <f t="shared" si="10"/>
        <v>1.8639067941788361</v>
      </c>
      <c r="AV25" s="168">
        <f t="shared" si="14"/>
        <v>1.03</v>
      </c>
      <c r="BC25" s="26">
        <v>2038</v>
      </c>
      <c r="BD25" s="140">
        <f t="shared" si="17"/>
        <v>1888000</v>
      </c>
    </row>
    <row r="26" spans="1:56" x14ac:dyDescent="0.25">
      <c r="A26" s="26"/>
      <c r="B26" s="1" t="s">
        <v>18</v>
      </c>
      <c r="C26" s="1">
        <v>33</v>
      </c>
      <c r="D26" s="1">
        <v>0</v>
      </c>
      <c r="E26" s="40">
        <f t="shared" si="15"/>
        <v>183389.15241230768</v>
      </c>
      <c r="F26" s="34" t="str">
        <f t="shared" si="16"/>
        <v>Tekn./Adm. 7</v>
      </c>
      <c r="H26" s="55">
        <v>23</v>
      </c>
      <c r="I26" s="293">
        <v>324800</v>
      </c>
      <c r="J26" s="3"/>
      <c r="K26" s="4">
        <f t="shared" si="23"/>
        <v>324400</v>
      </c>
      <c r="L26" s="2">
        <f t="shared" si="21"/>
        <v>408300.47795384622</v>
      </c>
      <c r="M26" s="2">
        <f t="shared" si="5"/>
        <v>83900.477953846217</v>
      </c>
      <c r="N26" s="16">
        <f t="shared" si="4"/>
        <v>0.2586327927060611</v>
      </c>
      <c r="O26" s="133"/>
      <c r="P26" s="6"/>
      <c r="Q26" s="134"/>
      <c r="R26" s="135"/>
      <c r="S26" s="26" t="s">
        <v>126</v>
      </c>
      <c r="T26" s="283">
        <v>732</v>
      </c>
      <c r="U26" s="116">
        <f t="shared" si="22"/>
        <v>301</v>
      </c>
      <c r="V26" s="116">
        <f t="shared" si="19"/>
        <v>1033</v>
      </c>
      <c r="W26" s="34" t="str">
        <f t="shared" si="20"/>
        <v>826'-1.094'</v>
      </c>
      <c r="X26" s="104">
        <v>0.4</v>
      </c>
      <c r="AB26" s="26">
        <v>39</v>
      </c>
      <c r="AC26" s="172" t="s">
        <v>117</v>
      </c>
      <c r="AD26" s="13">
        <f t="shared" si="7"/>
        <v>0.4</v>
      </c>
      <c r="AE26" s="172" t="s">
        <v>116</v>
      </c>
      <c r="AF26" s="113">
        <f t="shared" si="8"/>
        <v>0.4</v>
      </c>
      <c r="AP26" s="63">
        <f t="shared" si="11"/>
        <v>2044</v>
      </c>
      <c r="AQ26" s="76">
        <f t="shared" si="9"/>
        <v>1.9486213579742646</v>
      </c>
      <c r="AR26" s="168">
        <f t="shared" si="13"/>
        <v>1.03</v>
      </c>
      <c r="AS26" s="165">
        <f t="shared" si="2"/>
        <v>954824.46540738968</v>
      </c>
      <c r="AT26" s="63">
        <f t="shared" si="12"/>
        <v>2044</v>
      </c>
      <c r="AU26" s="76">
        <f t="shared" si="10"/>
        <v>1.9198239980042011</v>
      </c>
      <c r="AV26" s="168">
        <f t="shared" si="14"/>
        <v>1.03</v>
      </c>
      <c r="BC26" s="26">
        <v>2039</v>
      </c>
      <c r="BD26" s="140">
        <f t="shared" si="17"/>
        <v>1943000</v>
      </c>
    </row>
    <row r="27" spans="1:56" ht="15.75" thickBot="1" x14ac:dyDescent="0.3">
      <c r="A27" s="26"/>
      <c r="B27" s="1" t="s">
        <v>22</v>
      </c>
      <c r="C27" s="1">
        <v>34</v>
      </c>
      <c r="D27" s="1">
        <v>0</v>
      </c>
      <c r="E27" s="40">
        <f t="shared" si="15"/>
        <v>185496.3933415385</v>
      </c>
      <c r="F27" s="34" t="str">
        <f t="shared" si="16"/>
        <v>Tekn./Adm. 7</v>
      </c>
      <c r="H27" s="55">
        <v>24</v>
      </c>
      <c r="I27" s="293">
        <v>328800</v>
      </c>
      <c r="J27" s="3"/>
      <c r="K27" s="4">
        <f t="shared" si="23"/>
        <v>328400</v>
      </c>
      <c r="L27" s="2">
        <f t="shared" si="21"/>
        <v>413317.71826153848</v>
      </c>
      <c r="M27" s="2">
        <f t="shared" si="5"/>
        <v>84917.718261538481</v>
      </c>
      <c r="N27" s="16">
        <f t="shared" si="4"/>
        <v>0.25858014086948378</v>
      </c>
      <c r="O27" s="133"/>
      <c r="P27" s="6"/>
      <c r="Q27" s="134"/>
      <c r="R27" s="135"/>
      <c r="S27" s="35" t="s">
        <v>129</v>
      </c>
      <c r="T27" s="41">
        <v>988</v>
      </c>
      <c r="U27" s="41">
        <f t="shared" si="22"/>
        <v>301</v>
      </c>
      <c r="V27" s="41">
        <f t="shared" si="19"/>
        <v>1289</v>
      </c>
      <c r="W27" s="42" t="str">
        <f t="shared" si="20"/>
        <v>&gt;1.094'</v>
      </c>
      <c r="X27" s="139">
        <v>0.4</v>
      </c>
      <c r="AB27" s="26">
        <v>40</v>
      </c>
      <c r="AC27" s="172" t="s">
        <v>117</v>
      </c>
      <c r="AD27" s="13">
        <f t="shared" si="7"/>
        <v>0.4</v>
      </c>
      <c r="AE27" s="172" t="s">
        <v>116</v>
      </c>
      <c r="AF27" s="113">
        <f t="shared" si="8"/>
        <v>0.4</v>
      </c>
      <c r="AP27" s="63">
        <f t="shared" si="11"/>
        <v>2045</v>
      </c>
      <c r="AQ27" s="76">
        <f t="shared" si="9"/>
        <v>2.0070799987134924</v>
      </c>
      <c r="AR27" s="168">
        <f t="shared" si="13"/>
        <v>1.03</v>
      </c>
      <c r="AS27" s="165">
        <f t="shared" si="2"/>
        <v>983469.19936961133</v>
      </c>
      <c r="AT27" s="63">
        <f t="shared" si="12"/>
        <v>2045</v>
      </c>
      <c r="AU27" s="76">
        <f t="shared" si="10"/>
        <v>1.9774187179443272</v>
      </c>
      <c r="AV27" s="168">
        <f t="shared" si="14"/>
        <v>1.03</v>
      </c>
      <c r="BC27" s="26">
        <v>2040</v>
      </c>
      <c r="BD27" s="140">
        <f t="shared" si="17"/>
        <v>1999000</v>
      </c>
    </row>
    <row r="28" spans="1:56" x14ac:dyDescent="0.25">
      <c r="A28" s="26"/>
      <c r="B28" s="1" t="s">
        <v>13</v>
      </c>
      <c r="C28" s="1">
        <v>36</v>
      </c>
      <c r="D28" s="1">
        <v>0</v>
      </c>
      <c r="E28" s="40">
        <f t="shared" si="15"/>
        <v>189761.04760307696</v>
      </c>
      <c r="F28" s="34" t="str">
        <f t="shared" si="16"/>
        <v>Tekn./Adm. 7</v>
      </c>
      <c r="H28" s="55">
        <v>25</v>
      </c>
      <c r="I28" s="293">
        <v>333000</v>
      </c>
      <c r="J28" s="3"/>
      <c r="K28" s="4">
        <f t="shared" si="23"/>
        <v>332600</v>
      </c>
      <c r="L28" s="2">
        <f t="shared" si="21"/>
        <v>418585.82058461546</v>
      </c>
      <c r="M28" s="2">
        <f t="shared" si="5"/>
        <v>85985.82058461546</v>
      </c>
      <c r="N28" s="16">
        <f t="shared" si="4"/>
        <v>0.25852621943660692</v>
      </c>
      <c r="O28" s="133"/>
      <c r="P28" s="6"/>
      <c r="Q28" s="134"/>
      <c r="R28" s="135"/>
      <c r="AB28" s="26">
        <v>41</v>
      </c>
      <c r="AC28" s="172" t="s">
        <v>117</v>
      </c>
      <c r="AD28" s="13">
        <f t="shared" si="7"/>
        <v>0.4</v>
      </c>
      <c r="AE28" s="172" t="s">
        <v>116</v>
      </c>
      <c r="AF28" s="113">
        <f t="shared" si="8"/>
        <v>0.4</v>
      </c>
      <c r="AP28" s="63">
        <f t="shared" si="11"/>
        <v>2046</v>
      </c>
      <c r="AQ28" s="76">
        <f t="shared" si="9"/>
        <v>2.0672923986748972</v>
      </c>
      <c r="AR28" s="168">
        <f t="shared" si="13"/>
        <v>1.03</v>
      </c>
      <c r="AS28" s="165">
        <f t="shared" si="2"/>
        <v>1012973.2753506997</v>
      </c>
      <c r="AT28" s="63">
        <f t="shared" si="12"/>
        <v>2046</v>
      </c>
      <c r="AU28" s="76">
        <f t="shared" si="10"/>
        <v>2.0367412794826572</v>
      </c>
      <c r="AV28" s="168">
        <f t="shared" si="14"/>
        <v>1.03</v>
      </c>
      <c r="BC28" s="26">
        <v>2041</v>
      </c>
      <c r="BD28" s="140">
        <f t="shared" si="17"/>
        <v>2057000</v>
      </c>
    </row>
    <row r="29" spans="1:56" ht="15.75" thickBot="1" x14ac:dyDescent="0.3">
      <c r="A29" s="26"/>
      <c r="B29" s="1" t="s">
        <v>14</v>
      </c>
      <c r="C29" s="1">
        <v>36</v>
      </c>
      <c r="D29" s="1">
        <v>0</v>
      </c>
      <c r="E29" s="40">
        <f t="shared" si="15"/>
        <v>189761.04760307696</v>
      </c>
      <c r="F29" s="34" t="str">
        <f t="shared" si="16"/>
        <v>Tekn./Adm. 7</v>
      </c>
      <c r="H29" s="55">
        <v>26</v>
      </c>
      <c r="I29" s="293">
        <v>337300</v>
      </c>
      <c r="J29" s="3"/>
      <c r="K29" s="4">
        <f t="shared" si="23"/>
        <v>336900</v>
      </c>
      <c r="L29" s="2">
        <f t="shared" si="21"/>
        <v>423979.35391538468</v>
      </c>
      <c r="M29" s="2">
        <f t="shared" si="5"/>
        <v>87079.35391538468</v>
      </c>
      <c r="N29" s="16">
        <f t="shared" si="4"/>
        <v>0.2584724069913466</v>
      </c>
      <c r="O29" s="133"/>
      <c r="P29" s="6"/>
      <c r="Q29" s="134"/>
      <c r="R29" s="135"/>
      <c r="S29" s="108"/>
      <c r="T29" s="108"/>
      <c r="U29" s="108"/>
      <c r="V29" s="108"/>
      <c r="W29" s="108"/>
      <c r="X29" s="108"/>
      <c r="Y29" s="108"/>
      <c r="Z29" s="108"/>
      <c r="AB29" s="26">
        <v>42</v>
      </c>
      <c r="AC29" s="172" t="s">
        <v>117</v>
      </c>
      <c r="AD29" s="13">
        <f t="shared" si="7"/>
        <v>0.4</v>
      </c>
      <c r="AE29" s="172" t="s">
        <v>116</v>
      </c>
      <c r="AF29" s="113">
        <f t="shared" si="8"/>
        <v>0.4</v>
      </c>
      <c r="AP29" s="63">
        <f t="shared" si="11"/>
        <v>2047</v>
      </c>
      <c r="AQ29" s="76">
        <f t="shared" si="9"/>
        <v>2.1293111706351442</v>
      </c>
      <c r="AR29" s="168">
        <f t="shared" si="13"/>
        <v>1.03</v>
      </c>
      <c r="AS29" s="165">
        <f t="shared" si="2"/>
        <v>1043362.4736112206</v>
      </c>
      <c r="AT29" s="63">
        <f t="shared" si="12"/>
        <v>2047</v>
      </c>
      <c r="AU29" s="76">
        <f t="shared" si="10"/>
        <v>2.0978435178671369</v>
      </c>
      <c r="AV29" s="168">
        <f t="shared" si="14"/>
        <v>1.03</v>
      </c>
      <c r="BC29" s="26">
        <v>2042</v>
      </c>
      <c r="BD29" s="140">
        <f t="shared" si="17"/>
        <v>2117000</v>
      </c>
    </row>
    <row r="30" spans="1:56" ht="15.75" thickBot="1" x14ac:dyDescent="0.3">
      <c r="A30" s="26"/>
      <c r="B30" s="1" t="s">
        <v>25</v>
      </c>
      <c r="C30" s="1">
        <v>37</v>
      </c>
      <c r="D30" s="1">
        <v>0</v>
      </c>
      <c r="E30" s="40">
        <f t="shared" si="15"/>
        <v>192169.32295076927</v>
      </c>
      <c r="F30" s="34" t="str">
        <f t="shared" si="16"/>
        <v>Tekn./Adm. 7</v>
      </c>
      <c r="H30" s="55">
        <v>27</v>
      </c>
      <c r="I30" s="293">
        <v>341300</v>
      </c>
      <c r="J30" s="3"/>
      <c r="K30" s="4">
        <f t="shared" si="23"/>
        <v>340900</v>
      </c>
      <c r="L30" s="2">
        <f t="shared" si="21"/>
        <v>428996.594223077</v>
      </c>
      <c r="M30" s="2">
        <f t="shared" si="5"/>
        <v>88096.594223077002</v>
      </c>
      <c r="N30" s="16">
        <f t="shared" si="4"/>
        <v>0.25842356768283076</v>
      </c>
      <c r="O30" s="133"/>
      <c r="P30" s="6"/>
      <c r="Q30" s="134"/>
      <c r="R30" s="135"/>
      <c r="S30" s="284" t="s">
        <v>294</v>
      </c>
      <c r="T30" s="285"/>
      <c r="U30" s="285"/>
      <c r="V30" s="285"/>
      <c r="W30" s="285">
        <v>2022</v>
      </c>
      <c r="X30" s="47"/>
      <c r="Y30" s="286"/>
      <c r="Z30" s="108"/>
      <c r="AB30" s="26">
        <v>43</v>
      </c>
      <c r="AC30" s="172" t="s">
        <v>117</v>
      </c>
      <c r="AD30" s="13">
        <f t="shared" si="7"/>
        <v>0.4</v>
      </c>
      <c r="AE30" s="172" t="s">
        <v>116</v>
      </c>
      <c r="AF30" s="113">
        <f t="shared" si="8"/>
        <v>0.4</v>
      </c>
      <c r="AP30" s="63">
        <f>AP29+1</f>
        <v>2048</v>
      </c>
      <c r="AQ30" s="76">
        <f>AQ29*AR30</f>
        <v>2.1931905057541985</v>
      </c>
      <c r="AR30" s="168">
        <f t="shared" si="13"/>
        <v>1.03</v>
      </c>
      <c r="AS30" s="165">
        <f t="shared" si="2"/>
        <v>1074663.3478195572</v>
      </c>
      <c r="AT30" s="63">
        <f>AT29+1</f>
        <v>2048</v>
      </c>
      <c r="AU30" s="76">
        <f>AU29*AV30</f>
        <v>2.1607788234031511</v>
      </c>
      <c r="AV30" s="168">
        <f t="shared" si="14"/>
        <v>1.03</v>
      </c>
      <c r="BC30" s="26">
        <v>2043</v>
      </c>
      <c r="BD30" s="140">
        <f t="shared" si="17"/>
        <v>2178000</v>
      </c>
    </row>
    <row r="31" spans="1:56" ht="15.75" thickBot="1" x14ac:dyDescent="0.3">
      <c r="A31" s="26"/>
      <c r="B31" s="1" t="s">
        <v>15</v>
      </c>
      <c r="C31" s="1">
        <v>38</v>
      </c>
      <c r="D31" s="1">
        <v>0</v>
      </c>
      <c r="E31" s="40">
        <f t="shared" si="15"/>
        <v>194577.59829846155</v>
      </c>
      <c r="F31" s="34" t="str">
        <f t="shared" si="16"/>
        <v>Tekn./Adm. 7</v>
      </c>
      <c r="H31" s="55">
        <v>28</v>
      </c>
      <c r="I31" s="293">
        <v>345300</v>
      </c>
      <c r="J31" s="3"/>
      <c r="K31" s="4">
        <f t="shared" si="23"/>
        <v>344900</v>
      </c>
      <c r="L31" s="2">
        <f t="shared" si="21"/>
        <v>434013.83453076921</v>
      </c>
      <c r="M31" s="2">
        <f t="shared" si="5"/>
        <v>89113.834530769207</v>
      </c>
      <c r="N31" s="16">
        <f t="shared" si="4"/>
        <v>0.25837586120837697</v>
      </c>
      <c r="O31" s="133"/>
      <c r="P31" s="6"/>
      <c r="Q31" s="134"/>
      <c r="R31" s="173"/>
      <c r="S31" s="287" t="s">
        <v>293</v>
      </c>
      <c r="T31" s="288"/>
      <c r="U31" s="288"/>
      <c r="V31" s="289"/>
      <c r="W31" s="290">
        <v>585</v>
      </c>
      <c r="X31" s="108"/>
      <c r="Y31" s="108"/>
      <c r="Z31" s="108"/>
      <c r="AB31" s="26">
        <v>44</v>
      </c>
      <c r="AC31" s="172" t="s">
        <v>117</v>
      </c>
      <c r="AD31" s="13">
        <f t="shared" si="7"/>
        <v>0.4</v>
      </c>
      <c r="AE31" s="172" t="s">
        <v>116</v>
      </c>
      <c r="AF31" s="113">
        <f t="shared" si="8"/>
        <v>0.4</v>
      </c>
      <c r="AP31" s="63">
        <f>AP30+1</f>
        <v>2049</v>
      </c>
      <c r="AQ31" s="76">
        <f>AQ30*AR31</f>
        <v>2.2589862209268246</v>
      </c>
      <c r="AR31" s="168">
        <f t="shared" si="13"/>
        <v>1.03</v>
      </c>
      <c r="AS31" s="165">
        <f t="shared" si="2"/>
        <v>1106903.2482541441</v>
      </c>
      <c r="AT31" s="63">
        <f>AT30+1</f>
        <v>2049</v>
      </c>
      <c r="AU31" s="76">
        <f>AU30*AV31</f>
        <v>2.2256021881052455</v>
      </c>
      <c r="AV31" s="168">
        <f t="shared" si="14"/>
        <v>1.03</v>
      </c>
      <c r="BC31" s="26">
        <v>2044</v>
      </c>
      <c r="BD31" s="140">
        <f t="shared" si="17"/>
        <v>2241000</v>
      </c>
    </row>
    <row r="32" spans="1:56" ht="15.75" thickBot="1" x14ac:dyDescent="0.3">
      <c r="A32" s="26"/>
      <c r="B32" s="1" t="s">
        <v>8</v>
      </c>
      <c r="C32" s="1">
        <v>39</v>
      </c>
      <c r="D32" s="1">
        <v>0</v>
      </c>
      <c r="E32" s="40">
        <f t="shared" si="15"/>
        <v>196935.70124307694</v>
      </c>
      <c r="F32" s="34" t="str">
        <f t="shared" si="16"/>
        <v>Tekn./Adm. 7</v>
      </c>
      <c r="H32" s="55">
        <v>29</v>
      </c>
      <c r="I32" s="293">
        <v>349100</v>
      </c>
      <c r="J32" s="3"/>
      <c r="K32" s="4">
        <f t="shared" si="23"/>
        <v>348700</v>
      </c>
      <c r="L32" s="2">
        <f t="shared" si="21"/>
        <v>438780.21282307705</v>
      </c>
      <c r="M32" s="2">
        <f t="shared" si="5"/>
        <v>90080.212823077047</v>
      </c>
      <c r="N32" s="16">
        <f t="shared" si="4"/>
        <v>0.2583315538373302</v>
      </c>
      <c r="O32" s="133"/>
      <c r="P32" s="6"/>
      <c r="Q32" s="134"/>
      <c r="R32" s="135"/>
      <c r="S32" s="287" t="s">
        <v>371</v>
      </c>
      <c r="T32" s="288"/>
      <c r="U32" s="288"/>
      <c r="V32" s="289"/>
      <c r="W32" s="290">
        <v>5</v>
      </c>
      <c r="X32" s="108"/>
      <c r="Y32" s="108"/>
      <c r="Z32" s="108"/>
      <c r="AB32" s="26">
        <v>45</v>
      </c>
      <c r="AC32" s="172" t="s">
        <v>117</v>
      </c>
      <c r="AD32" s="13">
        <f t="shared" si="7"/>
        <v>0.4</v>
      </c>
      <c r="AE32" s="172" t="s">
        <v>116</v>
      </c>
      <c r="AF32" s="113">
        <f t="shared" si="8"/>
        <v>0.4</v>
      </c>
      <c r="AP32" s="63">
        <f t="shared" si="11"/>
        <v>2050</v>
      </c>
      <c r="AQ32" s="76">
        <f t="shared" si="9"/>
        <v>2.3267558075546293</v>
      </c>
      <c r="AR32" s="168">
        <f t="shared" si="13"/>
        <v>1.03</v>
      </c>
      <c r="AS32" s="165">
        <f t="shared" si="2"/>
        <v>1140110.3457017683</v>
      </c>
      <c r="AT32" s="63">
        <f t="shared" si="12"/>
        <v>2050</v>
      </c>
      <c r="AU32" s="76">
        <f t="shared" si="10"/>
        <v>2.2923702537484028</v>
      </c>
      <c r="AV32" s="168">
        <f t="shared" si="14"/>
        <v>1.03</v>
      </c>
      <c r="BC32" s="35">
        <v>2045</v>
      </c>
      <c r="BD32" s="151">
        <f t="shared" si="17"/>
        <v>2306000</v>
      </c>
    </row>
    <row r="33" spans="1:48" ht="15.75" thickBot="1" x14ac:dyDescent="0.3">
      <c r="A33" s="26"/>
      <c r="B33" s="1" t="s">
        <v>55</v>
      </c>
      <c r="C33" s="1">
        <v>40</v>
      </c>
      <c r="D33" s="1">
        <v>0</v>
      </c>
      <c r="E33" s="40">
        <f t="shared" si="15"/>
        <v>199494.49380000005</v>
      </c>
      <c r="F33" s="34" t="str">
        <f t="shared" si="16"/>
        <v>Tekn./Adm. 7</v>
      </c>
      <c r="H33" s="55">
        <v>30</v>
      </c>
      <c r="I33" s="293">
        <v>353100</v>
      </c>
      <c r="J33" s="3"/>
      <c r="K33" s="4">
        <f t="shared" si="23"/>
        <v>352700</v>
      </c>
      <c r="L33" s="2">
        <f t="shared" si="21"/>
        <v>443797.45313076925</v>
      </c>
      <c r="M33" s="2">
        <f t="shared" si="5"/>
        <v>91097.453130769252</v>
      </c>
      <c r="N33" s="16">
        <f t="shared" si="4"/>
        <v>0.25828594593356746</v>
      </c>
      <c r="O33" s="133"/>
      <c r="P33" s="6"/>
      <c r="Q33" s="134"/>
      <c r="R33" s="135"/>
      <c r="S33" s="287" t="s">
        <v>372</v>
      </c>
      <c r="T33" s="288"/>
      <c r="U33" s="288"/>
      <c r="V33" s="289"/>
      <c r="W33" s="290">
        <f>IK_SP/5</f>
        <v>117</v>
      </c>
      <c r="X33" s="108"/>
      <c r="Y33" s="108"/>
      <c r="Z33" s="108"/>
      <c r="AB33" s="26">
        <v>46</v>
      </c>
      <c r="AC33" s="172" t="s">
        <v>117</v>
      </c>
      <c r="AD33" s="13">
        <f t="shared" si="7"/>
        <v>0.4</v>
      </c>
      <c r="AE33" s="172" t="s">
        <v>116</v>
      </c>
      <c r="AF33" s="113">
        <f t="shared" si="8"/>
        <v>0.4</v>
      </c>
      <c r="AP33" s="68">
        <f t="shared" si="11"/>
        <v>2051</v>
      </c>
      <c r="AQ33" s="77">
        <f t="shared" si="9"/>
        <v>2.3965584817812684</v>
      </c>
      <c r="AR33" s="169">
        <f t="shared" si="13"/>
        <v>1.03</v>
      </c>
      <c r="AS33" s="165">
        <f t="shared" si="2"/>
        <v>1174313.6560728215</v>
      </c>
      <c r="AT33" s="68">
        <f t="shared" si="12"/>
        <v>2051</v>
      </c>
      <c r="AU33" s="77">
        <f t="shared" si="10"/>
        <v>2.361141361360855</v>
      </c>
      <c r="AV33" s="168">
        <f t="shared" si="14"/>
        <v>1.03</v>
      </c>
    </row>
    <row r="34" spans="1:48" ht="15.75" thickBot="1" x14ac:dyDescent="0.3">
      <c r="A34" s="26"/>
      <c r="B34" s="1" t="s">
        <v>46</v>
      </c>
      <c r="C34" s="1">
        <v>42</v>
      </c>
      <c r="D34" s="1">
        <v>0</v>
      </c>
      <c r="E34" s="40">
        <f t="shared" si="15"/>
        <v>205013.45813846157</v>
      </c>
      <c r="F34" s="34" t="str">
        <f t="shared" si="16"/>
        <v>Tekn./Adm. 7</v>
      </c>
      <c r="H34" s="55">
        <v>31</v>
      </c>
      <c r="I34" s="293">
        <v>356700</v>
      </c>
      <c r="J34" s="3"/>
      <c r="K34" s="4">
        <f t="shared" si="23"/>
        <v>356300</v>
      </c>
      <c r="L34" s="2">
        <f t="shared" si="21"/>
        <v>448312.96940769232</v>
      </c>
      <c r="M34" s="2">
        <f t="shared" si="5"/>
        <v>92012.969407692319</v>
      </c>
      <c r="N34" s="16">
        <f t="shared" si="4"/>
        <v>0.25824577436904944</v>
      </c>
      <c r="O34" s="133"/>
      <c r="P34" s="6"/>
      <c r="Q34" s="134"/>
      <c r="R34" s="135"/>
      <c r="S34" s="287"/>
      <c r="T34" s="288"/>
      <c r="U34" s="288"/>
      <c r="V34" s="289"/>
      <c r="W34" s="290"/>
      <c r="X34" s="108"/>
      <c r="Y34" s="108"/>
      <c r="Z34" s="108"/>
      <c r="AB34" s="26">
        <v>47</v>
      </c>
      <c r="AC34" s="172" t="s">
        <v>117</v>
      </c>
      <c r="AD34" s="13">
        <f t="shared" si="7"/>
        <v>0.4</v>
      </c>
      <c r="AE34" s="172" t="s">
        <v>116</v>
      </c>
      <c r="AF34" s="113">
        <f t="shared" si="8"/>
        <v>0.4</v>
      </c>
    </row>
    <row r="35" spans="1:48" ht="15.75" thickBot="1" x14ac:dyDescent="0.3">
      <c r="A35" s="26"/>
      <c r="B35" s="1" t="s">
        <v>58</v>
      </c>
      <c r="C35" s="1">
        <v>42</v>
      </c>
      <c r="D35" s="1">
        <v>0</v>
      </c>
      <c r="E35" s="40">
        <f t="shared" si="15"/>
        <v>205013.45813846157</v>
      </c>
      <c r="F35" s="34" t="str">
        <f t="shared" si="16"/>
        <v>Tekn./Adm. 7</v>
      </c>
      <c r="H35" s="55">
        <v>32</v>
      </c>
      <c r="I35" s="293">
        <v>360900</v>
      </c>
      <c r="J35" s="3"/>
      <c r="K35" s="4">
        <f t="shared" si="23"/>
        <v>360500</v>
      </c>
      <c r="L35" s="2">
        <f t="shared" si="21"/>
        <v>453581.07173076924</v>
      </c>
      <c r="M35" s="2">
        <f t="shared" si="5"/>
        <v>93081.071730769239</v>
      </c>
      <c r="N35" s="16">
        <f t="shared" si="4"/>
        <v>0.2581999215832711</v>
      </c>
      <c r="O35" s="133"/>
      <c r="P35" s="6"/>
      <c r="Q35" s="134"/>
      <c r="R35" s="135"/>
      <c r="S35" s="287"/>
      <c r="T35" s="288"/>
      <c r="U35" s="288"/>
      <c r="V35" s="289"/>
      <c r="W35" s="290"/>
      <c r="X35" s="108"/>
      <c r="Y35" s="108"/>
      <c r="Z35" s="108"/>
      <c r="AB35" s="26">
        <v>48</v>
      </c>
      <c r="AC35" s="172" t="s">
        <v>117</v>
      </c>
      <c r="AD35" s="13">
        <f t="shared" si="7"/>
        <v>0.4</v>
      </c>
      <c r="AE35" s="172" t="s">
        <v>116</v>
      </c>
      <c r="AF35" s="113">
        <f t="shared" si="8"/>
        <v>0.4</v>
      </c>
    </row>
    <row r="36" spans="1:48" ht="15.75" thickBot="1" x14ac:dyDescent="0.3">
      <c r="A36" s="26"/>
      <c r="B36" s="1" t="s">
        <v>12</v>
      </c>
      <c r="C36" s="1">
        <v>46</v>
      </c>
      <c r="D36" s="1">
        <v>0</v>
      </c>
      <c r="E36" s="40">
        <f t="shared" si="15"/>
        <v>217054.83487692309</v>
      </c>
      <c r="F36" s="34" t="str">
        <f t="shared" si="16"/>
        <v>Tekn./Adm. 7</v>
      </c>
      <c r="H36" s="55">
        <v>33</v>
      </c>
      <c r="I36" s="293">
        <v>364800</v>
      </c>
      <c r="J36" s="3"/>
      <c r="K36" s="4">
        <f t="shared" si="23"/>
        <v>364400</v>
      </c>
      <c r="L36" s="2">
        <f t="shared" si="21"/>
        <v>458472.8810307692</v>
      </c>
      <c r="M36" s="2">
        <f t="shared" si="5"/>
        <v>94072.881030769204</v>
      </c>
      <c r="N36" s="16">
        <f t="shared" si="4"/>
        <v>0.25815829042472338</v>
      </c>
      <c r="O36" s="133"/>
      <c r="P36" s="6"/>
      <c r="Q36" s="134"/>
      <c r="R36" s="135"/>
      <c r="S36" s="287" t="s">
        <v>373</v>
      </c>
      <c r="T36" s="288"/>
      <c r="U36" s="288"/>
      <c r="V36" s="289"/>
      <c r="W36" s="290">
        <v>7552</v>
      </c>
      <c r="X36" s="341" t="s">
        <v>374</v>
      </c>
      <c r="Y36" s="341"/>
      <c r="Z36" s="341"/>
      <c r="AB36" s="26">
        <v>49</v>
      </c>
      <c r="AC36" s="172" t="s">
        <v>117</v>
      </c>
      <c r="AD36" s="13">
        <f t="shared" si="7"/>
        <v>0.4</v>
      </c>
      <c r="AE36" s="172" t="s">
        <v>116</v>
      </c>
      <c r="AF36" s="113">
        <f t="shared" si="8"/>
        <v>0.4</v>
      </c>
    </row>
    <row r="37" spans="1:48" x14ac:dyDescent="0.25">
      <c r="A37" s="26"/>
      <c r="B37" s="1" t="s">
        <v>33</v>
      </c>
      <c r="C37" s="1">
        <v>46</v>
      </c>
      <c r="D37" s="1">
        <v>0</v>
      </c>
      <c r="E37" s="40">
        <f t="shared" si="15"/>
        <v>217054.83487692309</v>
      </c>
      <c r="F37" s="34" t="str">
        <f t="shared" si="16"/>
        <v>Tekn./Adm. 7</v>
      </c>
      <c r="H37" s="55">
        <v>34</v>
      </c>
      <c r="I37" s="293">
        <v>369000</v>
      </c>
      <c r="J37" s="3"/>
      <c r="K37" s="4">
        <f t="shared" si="23"/>
        <v>368600</v>
      </c>
      <c r="L37" s="2">
        <f t="shared" si="21"/>
        <v>463740.98335384624</v>
      </c>
      <c r="M37" s="2">
        <f t="shared" si="5"/>
        <v>95140.983353846241</v>
      </c>
      <c r="N37" s="16">
        <f t="shared" si="4"/>
        <v>0.25811444208856821</v>
      </c>
      <c r="O37" s="133"/>
      <c r="P37" s="6"/>
      <c r="Q37" s="134"/>
      <c r="R37" s="135"/>
      <c r="S37" s="78"/>
      <c r="T37" s="108"/>
      <c r="U37" s="108"/>
      <c r="V37" s="108"/>
      <c r="W37" s="108"/>
      <c r="X37" s="341"/>
      <c r="Y37" s="341"/>
      <c r="Z37" s="341"/>
      <c r="AB37" s="26">
        <v>50</v>
      </c>
      <c r="AC37" s="172" t="s">
        <v>117</v>
      </c>
      <c r="AD37" s="13">
        <f t="shared" si="7"/>
        <v>0.4</v>
      </c>
      <c r="AE37" s="172" t="s">
        <v>116</v>
      </c>
      <c r="AF37" s="113">
        <f t="shared" si="8"/>
        <v>0.4</v>
      </c>
    </row>
    <row r="38" spans="1:48" x14ac:dyDescent="0.25">
      <c r="A38" s="26"/>
      <c r="B38" s="1" t="s">
        <v>23</v>
      </c>
      <c r="C38" s="1">
        <v>51</v>
      </c>
      <c r="D38" s="1">
        <v>0</v>
      </c>
      <c r="E38" s="40">
        <f t="shared" si="15"/>
        <v>235317.58959692309</v>
      </c>
      <c r="F38" s="34" t="str">
        <f t="shared" si="16"/>
        <v>Tekn./Adm. 6</v>
      </c>
      <c r="H38" s="55">
        <v>35</v>
      </c>
      <c r="I38" s="293">
        <v>373200</v>
      </c>
      <c r="J38" s="3"/>
      <c r="K38" s="4">
        <f t="shared" si="23"/>
        <v>372800</v>
      </c>
      <c r="L38" s="2">
        <f t="shared" si="21"/>
        <v>469009.0856769231</v>
      </c>
      <c r="M38" s="2">
        <f t="shared" si="5"/>
        <v>96209.085676923103</v>
      </c>
      <c r="N38" s="16">
        <f t="shared" si="4"/>
        <v>0.25807158175140316</v>
      </c>
      <c r="O38" s="133"/>
      <c r="P38" s="6"/>
      <c r="Q38" s="134"/>
      <c r="R38" s="135"/>
      <c r="S38" s="78" t="s">
        <v>369</v>
      </c>
      <c r="T38" s="108"/>
      <c r="U38" s="108"/>
      <c r="V38" s="108"/>
      <c r="W38" s="286">
        <v>2836</v>
      </c>
      <c r="X38" s="108" t="s">
        <v>459</v>
      </c>
      <c r="Y38" s="108"/>
      <c r="Z38" s="108"/>
      <c r="AB38" s="26">
        <v>51</v>
      </c>
      <c r="AC38" s="172" t="s">
        <v>119</v>
      </c>
      <c r="AD38" s="13">
        <f t="shared" si="7"/>
        <v>0.4</v>
      </c>
      <c r="AE38" s="172" t="s">
        <v>118</v>
      </c>
      <c r="AF38" s="113">
        <f t="shared" si="8"/>
        <v>0.4</v>
      </c>
    </row>
    <row r="39" spans="1:48" x14ac:dyDescent="0.25">
      <c r="A39" s="26"/>
      <c r="B39" s="1" t="s">
        <v>56</v>
      </c>
      <c r="C39" s="1">
        <v>53</v>
      </c>
      <c r="D39" s="1">
        <v>0</v>
      </c>
      <c r="E39" s="40">
        <f t="shared" si="15"/>
        <v>243044.13967076928</v>
      </c>
      <c r="F39" s="34" t="str">
        <f t="shared" si="16"/>
        <v>Tekn./Adm. 6</v>
      </c>
      <c r="H39" s="55">
        <v>36</v>
      </c>
      <c r="I39" s="293">
        <v>377500</v>
      </c>
      <c r="J39" s="3"/>
      <c r="K39" s="4">
        <f t="shared" si="23"/>
        <v>377100</v>
      </c>
      <c r="L39" s="2">
        <f t="shared" si="21"/>
        <v>474402.61900769238</v>
      </c>
      <c r="M39" s="2">
        <f t="shared" si="5"/>
        <v>97302.619007692381</v>
      </c>
      <c r="N39" s="16">
        <f t="shared" si="4"/>
        <v>0.25802869002305062</v>
      </c>
      <c r="O39" s="133"/>
      <c r="P39" s="6"/>
      <c r="Q39" s="134"/>
      <c r="R39" s="135"/>
      <c r="S39" s="78" t="s">
        <v>370</v>
      </c>
      <c r="T39" s="108"/>
      <c r="U39" s="108"/>
      <c r="V39" s="108"/>
      <c r="W39" s="108">
        <f>W38/(5*8*40)</f>
        <v>1.7725</v>
      </c>
      <c r="X39" s="108"/>
      <c r="Y39" s="108"/>
      <c r="Z39" s="108"/>
      <c r="AB39" s="26">
        <v>52</v>
      </c>
      <c r="AC39" s="172" t="s">
        <v>119</v>
      </c>
      <c r="AD39" s="13">
        <f t="shared" si="7"/>
        <v>0.4</v>
      </c>
      <c r="AE39" s="172" t="s">
        <v>118</v>
      </c>
      <c r="AF39" s="113">
        <f t="shared" si="8"/>
        <v>0.4</v>
      </c>
    </row>
    <row r="40" spans="1:48" x14ac:dyDescent="0.25">
      <c r="A40" s="26"/>
      <c r="B40" s="1" t="s">
        <v>52</v>
      </c>
      <c r="C40" s="1">
        <v>56</v>
      </c>
      <c r="D40" s="1">
        <v>0</v>
      </c>
      <c r="E40" s="40">
        <f t="shared" si="15"/>
        <v>255035.3440061539</v>
      </c>
      <c r="F40" s="34" t="str">
        <f t="shared" si="16"/>
        <v>Tekn./Adm. 6</v>
      </c>
      <c r="H40" s="55">
        <v>37</v>
      </c>
      <c r="I40" s="293">
        <v>382300</v>
      </c>
      <c r="J40" s="3"/>
      <c r="K40" s="4">
        <f t="shared" si="23"/>
        <v>381900</v>
      </c>
      <c r="L40" s="2">
        <f t="shared" si="21"/>
        <v>480423.30737692316</v>
      </c>
      <c r="M40" s="2">
        <f t="shared" si="5"/>
        <v>98523.307376923156</v>
      </c>
      <c r="N40" s="16">
        <f t="shared" si="4"/>
        <v>0.25798195175942173</v>
      </c>
      <c r="O40" s="133"/>
      <c r="P40" s="6"/>
      <c r="Q40" s="134"/>
      <c r="R40" s="135"/>
      <c r="S40" s="78"/>
      <c r="T40" s="108"/>
      <c r="U40" s="108"/>
      <c r="V40" s="108"/>
      <c r="W40" s="108"/>
      <c r="X40" s="108"/>
      <c r="Y40" s="108"/>
      <c r="Z40" s="108"/>
      <c r="AB40" s="26">
        <v>53</v>
      </c>
      <c r="AC40" s="172" t="s">
        <v>119</v>
      </c>
      <c r="AD40" s="13">
        <f t="shared" si="7"/>
        <v>0.4</v>
      </c>
      <c r="AE40" s="172" t="s">
        <v>118</v>
      </c>
      <c r="AF40" s="113">
        <f t="shared" si="8"/>
        <v>0.4</v>
      </c>
    </row>
    <row r="41" spans="1:48" x14ac:dyDescent="0.25">
      <c r="A41" s="26"/>
      <c r="B41" s="1" t="s">
        <v>27</v>
      </c>
      <c r="C41" s="1">
        <v>57</v>
      </c>
      <c r="D41" s="1">
        <v>0</v>
      </c>
      <c r="E41" s="40">
        <f t="shared" si="15"/>
        <v>259299.9982676924</v>
      </c>
      <c r="F41" s="34" t="str">
        <f t="shared" si="16"/>
        <v>Tekn./Adm. 6</v>
      </c>
      <c r="H41" s="55">
        <v>38</v>
      </c>
      <c r="I41" s="293">
        <v>387100</v>
      </c>
      <c r="J41" s="3"/>
      <c r="K41" s="4">
        <f t="shared" si="23"/>
        <v>386700</v>
      </c>
      <c r="L41" s="2">
        <f t="shared" si="21"/>
        <v>486443.99574615387</v>
      </c>
      <c r="M41" s="2">
        <f t="shared" si="5"/>
        <v>99743.995746153872</v>
      </c>
      <c r="N41" s="16">
        <f t="shared" si="4"/>
        <v>0.25793637379403639</v>
      </c>
      <c r="O41" s="133"/>
      <c r="P41" s="6"/>
      <c r="Q41" s="134"/>
      <c r="R41" s="135"/>
      <c r="S41" s="78"/>
      <c r="T41" s="108"/>
      <c r="U41" s="108"/>
      <c r="V41" s="108"/>
      <c r="W41" s="108"/>
      <c r="X41" s="108"/>
      <c r="Y41" s="108"/>
      <c r="Z41" s="108"/>
      <c r="AB41" s="26">
        <v>54</v>
      </c>
      <c r="AC41" s="172" t="s">
        <v>119</v>
      </c>
      <c r="AD41" s="13">
        <f t="shared" si="7"/>
        <v>0.4</v>
      </c>
      <c r="AE41" s="172" t="s">
        <v>118</v>
      </c>
      <c r="AF41" s="113">
        <f t="shared" si="8"/>
        <v>0.4</v>
      </c>
    </row>
    <row r="42" spans="1:48" x14ac:dyDescent="0.25">
      <c r="A42" s="26"/>
      <c r="B42" s="1" t="s">
        <v>38</v>
      </c>
      <c r="C42" s="1">
        <v>58</v>
      </c>
      <c r="D42" s="1">
        <v>0</v>
      </c>
      <c r="E42" s="40">
        <f t="shared" si="15"/>
        <v>263715.16973846155</v>
      </c>
      <c r="F42" s="34" t="str">
        <f t="shared" si="16"/>
        <v>Tekn./Adm. 6</v>
      </c>
      <c r="H42" s="55">
        <v>39</v>
      </c>
      <c r="I42" s="293">
        <v>391800</v>
      </c>
      <c r="J42" s="3"/>
      <c r="K42" s="4">
        <f t="shared" si="23"/>
        <v>391400</v>
      </c>
      <c r="L42" s="2">
        <f t="shared" si="21"/>
        <v>492339.25310769235</v>
      </c>
      <c r="M42" s="2">
        <f t="shared" si="5"/>
        <v>100939.25310769235</v>
      </c>
      <c r="N42" s="16">
        <f t="shared" si="4"/>
        <v>0.25789282858378221</v>
      </c>
      <c r="O42" s="133"/>
      <c r="P42" s="6"/>
      <c r="Q42" s="134"/>
      <c r="R42" s="135"/>
      <c r="S42" s="1"/>
      <c r="AB42" s="26">
        <v>55</v>
      </c>
      <c r="AC42" s="172" t="s">
        <v>119</v>
      </c>
      <c r="AD42" s="13">
        <f t="shared" si="7"/>
        <v>0.4</v>
      </c>
      <c r="AE42" s="172" t="s">
        <v>118</v>
      </c>
      <c r="AF42" s="113">
        <f t="shared" si="8"/>
        <v>0.4</v>
      </c>
    </row>
    <row r="43" spans="1:48" x14ac:dyDescent="0.25">
      <c r="A43" s="26"/>
      <c r="B43" s="1" t="s">
        <v>3</v>
      </c>
      <c r="C43" s="1">
        <v>61</v>
      </c>
      <c r="D43" s="1">
        <v>0</v>
      </c>
      <c r="E43" s="40">
        <f t="shared" si="15"/>
        <v>278064.4770184615</v>
      </c>
      <c r="F43" s="34" t="str">
        <f t="shared" si="16"/>
        <v>Tekn./Adm. 5</v>
      </c>
      <c r="H43" s="55">
        <v>40</v>
      </c>
      <c r="I43" s="293">
        <v>396900</v>
      </c>
      <c r="J43" s="3"/>
      <c r="K43" s="4">
        <f t="shared" si="23"/>
        <v>396500</v>
      </c>
      <c r="L43" s="2">
        <f t="shared" si="21"/>
        <v>498736.23450000008</v>
      </c>
      <c r="M43" s="2">
        <f t="shared" si="5"/>
        <v>102236.23450000008</v>
      </c>
      <c r="N43" s="16">
        <f t="shared" si="4"/>
        <v>0.2578467452711225</v>
      </c>
      <c r="O43" s="133"/>
      <c r="P43" s="6"/>
      <c r="Q43" s="134"/>
      <c r="R43" s="135"/>
      <c r="S43" s="1"/>
      <c r="AB43" s="26">
        <v>56</v>
      </c>
      <c r="AC43" s="172" t="s">
        <v>119</v>
      </c>
      <c r="AD43" s="13">
        <f t="shared" si="7"/>
        <v>0.4</v>
      </c>
      <c r="AE43" s="172" t="s">
        <v>118</v>
      </c>
      <c r="AF43" s="113">
        <f t="shared" si="8"/>
        <v>0.4</v>
      </c>
    </row>
    <row r="44" spans="1:48" x14ac:dyDescent="0.25">
      <c r="A44" s="26"/>
      <c r="B44" s="1" t="s">
        <v>47</v>
      </c>
      <c r="C44" s="1">
        <v>61</v>
      </c>
      <c r="D44" s="1">
        <v>0</v>
      </c>
      <c r="E44" s="40">
        <f t="shared" si="15"/>
        <v>278064.4770184615</v>
      </c>
      <c r="F44" s="34" t="str">
        <f t="shared" si="16"/>
        <v>Tekn./Adm. 5</v>
      </c>
      <c r="H44" s="55">
        <v>41</v>
      </c>
      <c r="I44" s="293">
        <v>402000</v>
      </c>
      <c r="J44" s="3"/>
      <c r="K44" s="4">
        <f t="shared" si="23"/>
        <v>401600</v>
      </c>
      <c r="L44" s="2">
        <f t="shared" si="21"/>
        <v>505133.21589230775</v>
      </c>
      <c r="M44" s="2">
        <f t="shared" si="5"/>
        <v>103533.21589230775</v>
      </c>
      <c r="N44" s="16">
        <f t="shared" si="4"/>
        <v>0.25780183240116472</v>
      </c>
      <c r="O44" s="133"/>
      <c r="P44" s="6"/>
      <c r="Q44" s="134"/>
      <c r="R44" s="135"/>
      <c r="S44" s="1"/>
      <c r="AB44" s="26">
        <v>57</v>
      </c>
      <c r="AC44" s="172" t="s">
        <v>119</v>
      </c>
      <c r="AD44" s="13">
        <f t="shared" si="7"/>
        <v>0.4</v>
      </c>
      <c r="AE44" s="172" t="s">
        <v>118</v>
      </c>
      <c r="AF44" s="113">
        <f t="shared" si="8"/>
        <v>0.4</v>
      </c>
    </row>
    <row r="45" spans="1:48" x14ac:dyDescent="0.25">
      <c r="A45" s="26"/>
      <c r="B45" s="1" t="s">
        <v>63</v>
      </c>
      <c r="C45" s="1">
        <v>61</v>
      </c>
      <c r="D45" s="1">
        <v>1</v>
      </c>
      <c r="E45" s="40">
        <f t="shared" si="15"/>
        <v>278064.4770184615</v>
      </c>
      <c r="F45" s="34" t="str">
        <f t="shared" si="16"/>
        <v>Forsker 5</v>
      </c>
      <c r="H45" s="55">
        <v>42</v>
      </c>
      <c r="I45" s="293">
        <v>407900</v>
      </c>
      <c r="J45" s="3"/>
      <c r="K45" s="4">
        <f t="shared" si="23"/>
        <v>407500</v>
      </c>
      <c r="L45" s="2">
        <f t="shared" si="21"/>
        <v>512533.64534615388</v>
      </c>
      <c r="M45" s="2">
        <f t="shared" si="5"/>
        <v>105033.64534615388</v>
      </c>
      <c r="N45" s="16">
        <f t="shared" si="4"/>
        <v>0.25775127692307698</v>
      </c>
      <c r="O45" s="133"/>
      <c r="P45" s="6"/>
      <c r="Q45" s="134"/>
      <c r="R45" s="135"/>
      <c r="S45" s="1"/>
      <c r="AB45" s="26">
        <v>58</v>
      </c>
      <c r="AC45" s="172" t="s">
        <v>119</v>
      </c>
      <c r="AD45" s="13">
        <f t="shared" si="7"/>
        <v>0.4</v>
      </c>
      <c r="AE45" s="172" t="s">
        <v>118</v>
      </c>
      <c r="AF45" s="113">
        <f t="shared" si="8"/>
        <v>0.4</v>
      </c>
    </row>
    <row r="46" spans="1:48" x14ac:dyDescent="0.25">
      <c r="A46" s="26"/>
      <c r="B46" s="1" t="s">
        <v>4</v>
      </c>
      <c r="C46" s="1">
        <v>62</v>
      </c>
      <c r="D46" s="1">
        <v>0</v>
      </c>
      <c r="E46" s="40">
        <f t="shared" si="15"/>
        <v>283282.40693846153</v>
      </c>
      <c r="F46" s="34" t="str">
        <f t="shared" si="16"/>
        <v>Tekn./Adm. 5</v>
      </c>
      <c r="H46" s="55">
        <v>43</v>
      </c>
      <c r="I46" s="293">
        <v>413500</v>
      </c>
      <c r="J46" s="3"/>
      <c r="K46" s="4">
        <f t="shared" si="23"/>
        <v>413100</v>
      </c>
      <c r="L46" s="2">
        <f t="shared" si="21"/>
        <v>519557.78177692316</v>
      </c>
      <c r="M46" s="2">
        <f t="shared" si="5"/>
        <v>106457.78177692316</v>
      </c>
      <c r="N46" s="16">
        <f t="shared" si="4"/>
        <v>0.25770462787926207</v>
      </c>
      <c r="O46" s="133"/>
      <c r="P46" s="6"/>
      <c r="Q46" s="134"/>
      <c r="R46" s="135"/>
      <c r="S46" s="1"/>
      <c r="AB46" s="26">
        <v>59</v>
      </c>
      <c r="AC46" s="172" t="s">
        <v>119</v>
      </c>
      <c r="AD46" s="13">
        <f t="shared" si="7"/>
        <v>0.4</v>
      </c>
      <c r="AE46" s="172" t="s">
        <v>118</v>
      </c>
      <c r="AF46" s="113">
        <f t="shared" si="8"/>
        <v>0.4</v>
      </c>
    </row>
    <row r="47" spans="1:48" x14ac:dyDescent="0.25">
      <c r="A47" s="26"/>
      <c r="B47" s="1" t="s">
        <v>59</v>
      </c>
      <c r="C47" s="1">
        <v>62</v>
      </c>
      <c r="D47" s="1">
        <v>0</v>
      </c>
      <c r="E47" s="40">
        <f t="shared" si="15"/>
        <v>283282.40693846153</v>
      </c>
      <c r="F47" s="34" t="str">
        <f t="shared" si="16"/>
        <v>Tekn./Adm. 5</v>
      </c>
      <c r="H47" s="55">
        <v>44</v>
      </c>
      <c r="I47" s="293">
        <v>419600</v>
      </c>
      <c r="J47" s="3"/>
      <c r="K47" s="4">
        <f t="shared" si="23"/>
        <v>419200</v>
      </c>
      <c r="L47" s="2">
        <f t="shared" si="21"/>
        <v>527209.07324615389</v>
      </c>
      <c r="M47" s="2">
        <f t="shared" si="5"/>
        <v>108009.07324615389</v>
      </c>
      <c r="N47" s="16">
        <f t="shared" si="4"/>
        <v>0.25765523198032891</v>
      </c>
      <c r="O47" s="133"/>
      <c r="P47" s="6"/>
      <c r="Q47" s="134"/>
      <c r="R47" s="135"/>
      <c r="S47" s="1"/>
      <c r="AB47" s="26">
        <v>60</v>
      </c>
      <c r="AC47" s="172" t="s">
        <v>121</v>
      </c>
      <c r="AD47" s="13">
        <f t="shared" si="7"/>
        <v>0.4</v>
      </c>
      <c r="AE47" s="172" t="s">
        <v>120</v>
      </c>
      <c r="AF47" s="113">
        <f t="shared" si="8"/>
        <v>0.4</v>
      </c>
    </row>
    <row r="48" spans="1:48" x14ac:dyDescent="0.25">
      <c r="A48" s="26"/>
      <c r="B48" s="1" t="s">
        <v>61</v>
      </c>
      <c r="C48" s="1">
        <v>62</v>
      </c>
      <c r="D48" s="1">
        <v>0</v>
      </c>
      <c r="E48" s="40">
        <f t="shared" si="15"/>
        <v>283282.40693846153</v>
      </c>
      <c r="F48" s="34" t="str">
        <f t="shared" si="16"/>
        <v>Tekn./Adm. 5</v>
      </c>
      <c r="H48" s="55">
        <v>45</v>
      </c>
      <c r="I48" s="293">
        <v>425600</v>
      </c>
      <c r="J48" s="3"/>
      <c r="K48" s="4">
        <f t="shared" si="23"/>
        <v>425200</v>
      </c>
      <c r="L48" s="2">
        <f t="shared" si="21"/>
        <v>534734.93370769231</v>
      </c>
      <c r="M48" s="2">
        <f t="shared" si="5"/>
        <v>109534.93370769231</v>
      </c>
      <c r="N48" s="16">
        <f t="shared" si="4"/>
        <v>0.25760802847528763</v>
      </c>
      <c r="O48" s="133"/>
      <c r="P48" s="6"/>
      <c r="Q48" s="134"/>
      <c r="R48" s="135"/>
      <c r="S48" s="1"/>
      <c r="AB48" s="26">
        <v>61</v>
      </c>
      <c r="AC48" s="172" t="s">
        <v>121</v>
      </c>
      <c r="AD48" s="13">
        <f>VLOOKUP(AC48,$S$21:$X$27,6,FALSE)</f>
        <v>0.4</v>
      </c>
      <c r="AE48" s="172" t="s">
        <v>120</v>
      </c>
      <c r="AF48" s="113">
        <f t="shared" si="8"/>
        <v>0.4</v>
      </c>
    </row>
    <row r="49" spans="1:32" x14ac:dyDescent="0.25">
      <c r="A49" s="26"/>
      <c r="B49" s="1" t="s">
        <v>5</v>
      </c>
      <c r="C49" s="1">
        <v>63</v>
      </c>
      <c r="D49" s="1">
        <v>0</v>
      </c>
      <c r="E49" s="40">
        <f t="shared" si="15"/>
        <v>288701.02647076925</v>
      </c>
      <c r="F49" s="34" t="str">
        <f t="shared" si="16"/>
        <v>Tekn./Adm. 5</v>
      </c>
      <c r="H49" s="55">
        <v>46</v>
      </c>
      <c r="I49" s="293">
        <v>431900</v>
      </c>
      <c r="J49" s="3"/>
      <c r="K49" s="4">
        <f t="shared" si="23"/>
        <v>431500</v>
      </c>
      <c r="L49" s="2">
        <f t="shared" si="21"/>
        <v>542637.08719230769</v>
      </c>
      <c r="M49" s="2">
        <f t="shared" si="5"/>
        <v>111137.08719230769</v>
      </c>
      <c r="N49" s="16">
        <f t="shared" si="4"/>
        <v>0.25755987761832605</v>
      </c>
      <c r="O49" s="133"/>
      <c r="P49" s="6"/>
      <c r="Q49" s="134"/>
      <c r="R49" s="135"/>
      <c r="S49" s="1"/>
      <c r="AB49" s="26">
        <v>62</v>
      </c>
      <c r="AC49" s="172" t="s">
        <v>121</v>
      </c>
      <c r="AD49" s="13">
        <f>VLOOKUP(AC49,$S$21:$X$27,6,FALSE)</f>
        <v>0.4</v>
      </c>
      <c r="AE49" s="172" t="s">
        <v>120</v>
      </c>
      <c r="AF49" s="113">
        <f t="shared" si="8"/>
        <v>0.4</v>
      </c>
    </row>
    <row r="50" spans="1:32" x14ac:dyDescent="0.25">
      <c r="A50" s="26"/>
      <c r="B50" s="1" t="s">
        <v>7</v>
      </c>
      <c r="C50" s="1">
        <v>63</v>
      </c>
      <c r="D50" s="1">
        <v>0</v>
      </c>
      <c r="E50" s="40">
        <f t="shared" si="15"/>
        <v>288701.02647076925</v>
      </c>
      <c r="F50" s="34" t="str">
        <f t="shared" si="16"/>
        <v>Tekn./Adm. 5</v>
      </c>
      <c r="H50" s="55">
        <v>47</v>
      </c>
      <c r="I50" s="293">
        <v>439900</v>
      </c>
      <c r="J50" s="3"/>
      <c r="K50" s="4">
        <f t="shared" si="23"/>
        <v>439500</v>
      </c>
      <c r="L50" s="2">
        <f t="shared" si="21"/>
        <v>552671.56780769234</v>
      </c>
      <c r="M50" s="2">
        <f t="shared" si="5"/>
        <v>113171.56780769234</v>
      </c>
      <c r="N50" s="16">
        <f t="shared" si="4"/>
        <v>0.25750072311192795</v>
      </c>
      <c r="O50" s="133"/>
      <c r="P50" s="6"/>
      <c r="Q50" s="134"/>
      <c r="R50" s="135"/>
      <c r="S50" s="1"/>
      <c r="AB50" s="26">
        <v>63</v>
      </c>
      <c r="AC50" s="172" t="s">
        <v>121</v>
      </c>
      <c r="AD50" s="13">
        <f t="shared" si="7"/>
        <v>0.4</v>
      </c>
      <c r="AE50" s="172" t="s">
        <v>120</v>
      </c>
      <c r="AF50" s="113">
        <f t="shared" si="8"/>
        <v>0.4</v>
      </c>
    </row>
    <row r="51" spans="1:32" x14ac:dyDescent="0.25">
      <c r="A51" s="26"/>
      <c r="B51" s="1" t="s">
        <v>51</v>
      </c>
      <c r="C51" s="1">
        <v>64</v>
      </c>
      <c r="D51" s="1">
        <v>0</v>
      </c>
      <c r="E51" s="40">
        <f t="shared" si="15"/>
        <v>293116.19794153853</v>
      </c>
      <c r="F51" s="34" t="str">
        <f t="shared" si="16"/>
        <v>Tekn./Adm. 5</v>
      </c>
      <c r="H51" s="55">
        <v>48</v>
      </c>
      <c r="I51" s="293">
        <v>446800</v>
      </c>
      <c r="J51" s="3"/>
      <c r="K51" s="4">
        <f t="shared" si="23"/>
        <v>446400</v>
      </c>
      <c r="L51" s="2">
        <f t="shared" si="21"/>
        <v>561326.30733846151</v>
      </c>
      <c r="M51" s="2">
        <f t="shared" si="5"/>
        <v>114926.30733846151</v>
      </c>
      <c r="N51" s="16">
        <f t="shared" si="4"/>
        <v>0.2574514053280948</v>
      </c>
      <c r="O51" s="133"/>
      <c r="P51" s="6"/>
      <c r="Q51" s="134"/>
      <c r="R51" s="135"/>
      <c r="AB51" s="26">
        <v>64</v>
      </c>
      <c r="AC51" s="172" t="s">
        <v>121</v>
      </c>
      <c r="AD51" s="13">
        <f t="shared" si="7"/>
        <v>0.4</v>
      </c>
      <c r="AE51" s="172" t="s">
        <v>120</v>
      </c>
      <c r="AF51" s="113">
        <f t="shared" si="8"/>
        <v>0.4</v>
      </c>
    </row>
    <row r="52" spans="1:32" x14ac:dyDescent="0.25">
      <c r="A52" s="26"/>
      <c r="B52" s="1" t="s">
        <v>21</v>
      </c>
      <c r="C52" s="1">
        <v>66</v>
      </c>
      <c r="D52" s="1">
        <v>0</v>
      </c>
      <c r="E52" s="40">
        <f t="shared" si="15"/>
        <v>303752.74739384622</v>
      </c>
      <c r="F52" s="34" t="str">
        <f t="shared" si="16"/>
        <v>Tekn./Adm. 4</v>
      </c>
      <c r="H52" s="55">
        <v>49</v>
      </c>
      <c r="I52" s="293">
        <v>454200</v>
      </c>
      <c r="J52" s="3"/>
      <c r="K52" s="4">
        <f t="shared" si="23"/>
        <v>453800</v>
      </c>
      <c r="L52" s="2">
        <f t="shared" si="21"/>
        <v>570608.20190769236</v>
      </c>
      <c r="M52" s="2">
        <f t="shared" si="5"/>
        <v>116808.20190769236</v>
      </c>
      <c r="N52" s="16">
        <f t="shared" si="4"/>
        <v>0.25740018049293162</v>
      </c>
      <c r="O52" s="133"/>
      <c r="P52" s="6"/>
      <c r="Q52" s="134"/>
      <c r="R52" s="135"/>
      <c r="AB52" s="26">
        <v>65</v>
      </c>
      <c r="AC52" s="172" t="s">
        <v>121</v>
      </c>
      <c r="AD52" s="13">
        <f t="shared" si="7"/>
        <v>0.4</v>
      </c>
      <c r="AE52" s="172" t="s">
        <v>120</v>
      </c>
      <c r="AF52" s="113">
        <f t="shared" si="8"/>
        <v>0.4</v>
      </c>
    </row>
    <row r="53" spans="1:32" x14ac:dyDescent="0.25">
      <c r="A53" s="26"/>
      <c r="B53" s="1" t="s">
        <v>32</v>
      </c>
      <c r="C53" s="1">
        <v>66</v>
      </c>
      <c r="D53" s="1">
        <v>0</v>
      </c>
      <c r="E53" s="40">
        <f t="shared" si="15"/>
        <v>303752.74739384622</v>
      </c>
      <c r="F53" s="34" t="str">
        <f t="shared" si="16"/>
        <v>Tekn./Adm. 4</v>
      </c>
      <c r="H53" s="55">
        <v>50</v>
      </c>
      <c r="I53" s="293">
        <v>461300</v>
      </c>
      <c r="J53" s="3"/>
      <c r="K53" s="4">
        <f t="shared" si="23"/>
        <v>460900</v>
      </c>
      <c r="L53" s="2">
        <f t="shared" si="21"/>
        <v>579513.80345384625</v>
      </c>
      <c r="M53" s="2">
        <f t="shared" si="5"/>
        <v>118613.80345384625</v>
      </c>
      <c r="N53" s="16">
        <f t="shared" si="4"/>
        <v>0.25735257855032817</v>
      </c>
      <c r="O53" s="133"/>
      <c r="P53" s="6"/>
      <c r="Q53" s="134"/>
      <c r="R53" s="135"/>
      <c r="AB53" s="26">
        <v>66</v>
      </c>
      <c r="AC53" s="172" t="s">
        <v>123</v>
      </c>
      <c r="AD53" s="13">
        <f t="shared" si="7"/>
        <v>0.4</v>
      </c>
      <c r="AE53" s="172" t="s">
        <v>122</v>
      </c>
      <c r="AF53" s="113">
        <f t="shared" si="8"/>
        <v>0.4</v>
      </c>
    </row>
    <row r="54" spans="1:32" x14ac:dyDescent="0.25">
      <c r="A54" s="26"/>
      <c r="B54" s="1" t="s">
        <v>34</v>
      </c>
      <c r="C54" s="1">
        <v>69</v>
      </c>
      <c r="D54" s="1">
        <v>0</v>
      </c>
      <c r="E54" s="40">
        <f t="shared" si="15"/>
        <v>320409.98521538475</v>
      </c>
      <c r="F54" s="34" t="str">
        <f t="shared" si="16"/>
        <v>Tekn./Adm. 4</v>
      </c>
      <c r="H54" s="55">
        <v>51</v>
      </c>
      <c r="I54" s="293">
        <v>468300</v>
      </c>
      <c r="J54" s="3"/>
      <c r="K54" s="4">
        <f t="shared" si="23"/>
        <v>467900</v>
      </c>
      <c r="L54" s="2">
        <f t="shared" ref="L54:L85" si="24">((K54*(1-5/52)*1.12+K54*0.087+1229)*1.141)</f>
        <v>588293.97399230767</v>
      </c>
      <c r="M54" s="2">
        <f t="shared" si="5"/>
        <v>120393.97399230767</v>
      </c>
      <c r="N54" s="16">
        <f t="shared" si="4"/>
        <v>0.25730706132145259</v>
      </c>
      <c r="O54" s="133"/>
      <c r="P54" s="6"/>
      <c r="Q54" s="134"/>
      <c r="R54" s="135"/>
      <c r="AB54" s="26">
        <v>67</v>
      </c>
      <c r="AC54" s="172" t="s">
        <v>123</v>
      </c>
      <c r="AD54" s="13">
        <f t="shared" si="7"/>
        <v>0.4</v>
      </c>
      <c r="AE54" s="172" t="s">
        <v>122</v>
      </c>
      <c r="AF54" s="113">
        <f t="shared" si="8"/>
        <v>0.4</v>
      </c>
    </row>
    <row r="55" spans="1:32" x14ac:dyDescent="0.25">
      <c r="A55" s="26"/>
      <c r="B55" s="1" t="s">
        <v>53</v>
      </c>
      <c r="C55" s="1">
        <v>71</v>
      </c>
      <c r="D55" s="1">
        <v>0</v>
      </c>
      <c r="E55" s="40">
        <f t="shared" si="15"/>
        <v>334357.91327076929</v>
      </c>
      <c r="F55" s="34" t="str">
        <f t="shared" si="16"/>
        <v>Tekn./Adm. 4</v>
      </c>
      <c r="H55" s="55">
        <v>52</v>
      </c>
      <c r="I55" s="293">
        <v>475800</v>
      </c>
      <c r="J55" s="3"/>
      <c r="K55" s="4">
        <f t="shared" si="23"/>
        <v>475400</v>
      </c>
      <c r="L55" s="2">
        <f t="shared" si="24"/>
        <v>597701.29956923088</v>
      </c>
      <c r="M55" s="2">
        <f t="shared" si="5"/>
        <v>122301.29956923088</v>
      </c>
      <c r="N55" s="16">
        <f t="shared" si="4"/>
        <v>0.25725978033073388</v>
      </c>
      <c r="O55" s="133"/>
      <c r="P55" s="6"/>
      <c r="Q55" s="134"/>
      <c r="R55" s="135"/>
      <c r="AB55" s="26">
        <v>68</v>
      </c>
      <c r="AC55" s="172" t="s">
        <v>123</v>
      </c>
      <c r="AD55" s="13">
        <f t="shared" si="7"/>
        <v>0.4</v>
      </c>
      <c r="AE55" s="172" t="s">
        <v>122</v>
      </c>
      <c r="AF55" s="113">
        <f t="shared" si="8"/>
        <v>0.4</v>
      </c>
    </row>
    <row r="56" spans="1:32" x14ac:dyDescent="0.25">
      <c r="A56" s="26"/>
      <c r="B56" s="1" t="s">
        <v>54</v>
      </c>
      <c r="C56" s="1">
        <v>71</v>
      </c>
      <c r="D56" s="1">
        <v>0</v>
      </c>
      <c r="E56" s="40">
        <f t="shared" si="15"/>
        <v>334357.91327076929</v>
      </c>
      <c r="F56" s="34" t="str">
        <f t="shared" si="16"/>
        <v>Tekn./Adm. 4</v>
      </c>
      <c r="H56" s="55">
        <v>53</v>
      </c>
      <c r="I56" s="293">
        <v>483700</v>
      </c>
      <c r="J56" s="3"/>
      <c r="K56" s="4">
        <f t="shared" si="23"/>
        <v>483300</v>
      </c>
      <c r="L56" s="2">
        <f t="shared" si="24"/>
        <v>607610.34917692316</v>
      </c>
      <c r="M56" s="2">
        <f t="shared" si="5"/>
        <v>124310.34917692316</v>
      </c>
      <c r="N56" s="16">
        <f t="shared" si="4"/>
        <v>0.25721156461188321</v>
      </c>
      <c r="O56" s="133"/>
      <c r="P56" s="6"/>
      <c r="Q56" s="134"/>
      <c r="R56" s="135"/>
      <c r="AB56" s="26">
        <v>69</v>
      </c>
      <c r="AC56" s="172" t="s">
        <v>123</v>
      </c>
      <c r="AD56" s="13">
        <f>VLOOKUP(AC56,$S$21:$X$27,6,FALSE)</f>
        <v>0.4</v>
      </c>
      <c r="AE56" s="172" t="s">
        <v>122</v>
      </c>
      <c r="AF56" s="113">
        <f t="shared" si="8"/>
        <v>0.4</v>
      </c>
    </row>
    <row r="57" spans="1:32" x14ac:dyDescent="0.25">
      <c r="A57" s="26"/>
      <c r="B57" s="1" t="s">
        <v>44</v>
      </c>
      <c r="C57" s="1">
        <v>72</v>
      </c>
      <c r="D57" s="1">
        <v>0</v>
      </c>
      <c r="E57" s="40">
        <f t="shared" si="15"/>
        <v>340328.42923692311</v>
      </c>
      <c r="F57" s="34" t="str">
        <f t="shared" si="16"/>
        <v>Tekn./Adm. 4</v>
      </c>
      <c r="H57" s="55">
        <v>54</v>
      </c>
      <c r="I57" s="293">
        <v>491200</v>
      </c>
      <c r="J57" s="3"/>
      <c r="K57" s="4">
        <f t="shared" si="23"/>
        <v>490800</v>
      </c>
      <c r="L57" s="2">
        <f t="shared" si="24"/>
        <v>617017.67475384625</v>
      </c>
      <c r="M57" s="2">
        <f t="shared" si="5"/>
        <v>126217.67475384625</v>
      </c>
      <c r="N57" s="16">
        <f t="shared" si="4"/>
        <v>0.25716722647482937</v>
      </c>
      <c r="O57" s="133"/>
      <c r="P57" s="6"/>
      <c r="Q57" s="134"/>
      <c r="R57" s="135"/>
      <c r="AB57" s="26">
        <v>70</v>
      </c>
      <c r="AC57" s="172" t="s">
        <v>123</v>
      </c>
      <c r="AD57" s="13">
        <f t="shared" si="7"/>
        <v>0.4</v>
      </c>
      <c r="AE57" s="172" t="s">
        <v>122</v>
      </c>
      <c r="AF57" s="113">
        <f>VLOOKUP(AE57,$S$14:$X$20,6,FALSE)</f>
        <v>0.4</v>
      </c>
    </row>
    <row r="58" spans="1:32" x14ac:dyDescent="0.25">
      <c r="A58" s="26"/>
      <c r="B58" s="1" t="s">
        <v>50</v>
      </c>
      <c r="C58" s="1">
        <v>73</v>
      </c>
      <c r="D58" s="1">
        <v>0</v>
      </c>
      <c r="E58" s="40">
        <f t="shared" si="15"/>
        <v>346349.11760615394</v>
      </c>
      <c r="F58" s="34" t="str">
        <f t="shared" si="16"/>
        <v>Tekn./Adm. 3</v>
      </c>
      <c r="H58" s="55">
        <v>55</v>
      </c>
      <c r="I58" s="293">
        <v>499500</v>
      </c>
      <c r="J58" s="3"/>
      <c r="K58" s="4">
        <f t="shared" si="23"/>
        <v>499100</v>
      </c>
      <c r="L58" s="2">
        <f t="shared" si="24"/>
        <v>627428.44839230762</v>
      </c>
      <c r="M58" s="2">
        <f t="shared" si="5"/>
        <v>128328.44839230762</v>
      </c>
      <c r="N58" s="16">
        <f t="shared" si="4"/>
        <v>0.25711971226669528</v>
      </c>
      <c r="O58" s="133"/>
      <c r="P58" s="6"/>
      <c r="Q58" s="134"/>
      <c r="R58" s="135"/>
      <c r="AB58" s="26">
        <v>71</v>
      </c>
      <c r="AC58" s="172" t="s">
        <v>123</v>
      </c>
      <c r="AD58" s="13">
        <f t="shared" si="7"/>
        <v>0.4</v>
      </c>
      <c r="AE58" s="172" t="s">
        <v>122</v>
      </c>
      <c r="AF58" s="113">
        <f>VLOOKUP(AE58,$S$14:$X$20,6,FALSE)</f>
        <v>0.4</v>
      </c>
    </row>
    <row r="59" spans="1:32" x14ac:dyDescent="0.25">
      <c r="A59" s="26"/>
      <c r="B59" s="1" t="s">
        <v>49</v>
      </c>
      <c r="C59" s="1">
        <v>74</v>
      </c>
      <c r="D59" s="1">
        <v>0</v>
      </c>
      <c r="E59" s="40">
        <f t="shared" si="15"/>
        <v>352620.66799076926</v>
      </c>
      <c r="F59" s="34" t="str">
        <f t="shared" si="16"/>
        <v>Tekn./Adm. 3</v>
      </c>
      <c r="H59" s="55">
        <v>56</v>
      </c>
      <c r="I59" s="293">
        <v>507600</v>
      </c>
      <c r="J59" s="3"/>
      <c r="K59" s="4">
        <f t="shared" si="23"/>
        <v>507200</v>
      </c>
      <c r="L59" s="2">
        <f t="shared" si="24"/>
        <v>637588.36001538474</v>
      </c>
      <c r="M59" s="2">
        <f t="shared" si="5"/>
        <v>130388.36001538474</v>
      </c>
      <c r="N59" s="16">
        <f t="shared" si="4"/>
        <v>0.25707484230162608</v>
      </c>
      <c r="O59" s="133"/>
      <c r="P59" s="6"/>
      <c r="Q59" s="134"/>
      <c r="R59" s="135"/>
      <c r="AB59" s="26">
        <v>72</v>
      </c>
      <c r="AC59" s="172" t="s">
        <v>123</v>
      </c>
      <c r="AD59" s="13">
        <f t="shared" si="7"/>
        <v>0.4</v>
      </c>
      <c r="AE59" s="172" t="s">
        <v>122</v>
      </c>
      <c r="AF59" s="113">
        <f t="shared" si="8"/>
        <v>0.4</v>
      </c>
    </row>
    <row r="60" spans="1:32" x14ac:dyDescent="0.25">
      <c r="A60" s="26"/>
      <c r="B60" s="1" t="s">
        <v>6</v>
      </c>
      <c r="C60" s="1">
        <v>83</v>
      </c>
      <c r="D60" s="1">
        <v>0</v>
      </c>
      <c r="E60" s="40">
        <f t="shared" si="15"/>
        <v>450155.81957230775</v>
      </c>
      <c r="F60" s="34" t="str">
        <f t="shared" si="16"/>
        <v>Tekn./Adm. 2</v>
      </c>
      <c r="H60" s="55">
        <v>57</v>
      </c>
      <c r="I60" s="293">
        <v>516100</v>
      </c>
      <c r="J60" s="3"/>
      <c r="K60" s="4">
        <f t="shared" si="23"/>
        <v>515700</v>
      </c>
      <c r="L60" s="2">
        <f t="shared" si="24"/>
        <v>648249.99566923094</v>
      </c>
      <c r="M60" s="2">
        <f t="shared" si="5"/>
        <v>132549.99566923094</v>
      </c>
      <c r="N60" s="16">
        <f t="shared" si="4"/>
        <v>0.25702927219164423</v>
      </c>
      <c r="O60" s="133"/>
      <c r="P60" s="6"/>
      <c r="Q60" s="134"/>
      <c r="R60" s="135"/>
      <c r="AB60" s="26">
        <v>73</v>
      </c>
      <c r="AC60" s="172" t="s">
        <v>125</v>
      </c>
      <c r="AD60" s="13">
        <f t="shared" si="7"/>
        <v>0.4</v>
      </c>
      <c r="AE60" s="172" t="s">
        <v>124</v>
      </c>
      <c r="AF60" s="113">
        <f t="shared" si="8"/>
        <v>0.4</v>
      </c>
    </row>
    <row r="61" spans="1:32" x14ac:dyDescent="0.25">
      <c r="A61" s="26"/>
      <c r="B61" s="1" t="s">
        <v>1</v>
      </c>
      <c r="C61" s="1">
        <v>84</v>
      </c>
      <c r="D61" s="1">
        <v>0</v>
      </c>
      <c r="E61" s="40">
        <f t="shared" si="15"/>
        <v>461795.8170861539</v>
      </c>
      <c r="F61" s="34" t="str">
        <f t="shared" si="16"/>
        <v>Tekn./Adm. 2</v>
      </c>
      <c r="H61" s="55">
        <v>58</v>
      </c>
      <c r="I61" s="293">
        <v>524900</v>
      </c>
      <c r="J61" s="3"/>
      <c r="K61" s="4">
        <f t="shared" si="23"/>
        <v>524500</v>
      </c>
      <c r="L61" s="2">
        <f t="shared" si="24"/>
        <v>659287.92434615386</v>
      </c>
      <c r="M61" s="2">
        <f t="shared" si="5"/>
        <v>134787.92434615386</v>
      </c>
      <c r="N61" s="16">
        <f t="shared" si="4"/>
        <v>0.2569836498496737</v>
      </c>
      <c r="O61" s="133"/>
      <c r="P61" s="6"/>
      <c r="Q61" s="134"/>
      <c r="R61" s="135"/>
      <c r="AB61" s="26">
        <v>74</v>
      </c>
      <c r="AC61" s="172" t="s">
        <v>125</v>
      </c>
      <c r="AD61" s="13">
        <f t="shared" si="7"/>
        <v>0.4</v>
      </c>
      <c r="AE61" s="172" t="s">
        <v>124</v>
      </c>
      <c r="AF61" s="113">
        <f t="shared" si="8"/>
        <v>0.4</v>
      </c>
    </row>
    <row r="62" spans="1:32" x14ac:dyDescent="0.25">
      <c r="A62" s="26"/>
      <c r="B62" s="1" t="s">
        <v>31</v>
      </c>
      <c r="C62" s="1">
        <v>84</v>
      </c>
      <c r="D62" s="1">
        <v>0</v>
      </c>
      <c r="E62" s="40">
        <f t="shared" si="15"/>
        <v>461795.8170861539</v>
      </c>
      <c r="F62" s="34" t="str">
        <f t="shared" si="16"/>
        <v>Tekn./Adm. 2</v>
      </c>
      <c r="H62" s="55">
        <v>59</v>
      </c>
      <c r="I62" s="293">
        <v>534400</v>
      </c>
      <c r="J62" s="3"/>
      <c r="K62" s="4">
        <f t="shared" si="23"/>
        <v>534000</v>
      </c>
      <c r="L62" s="2">
        <f t="shared" si="24"/>
        <v>671203.87007692317</v>
      </c>
      <c r="M62" s="2">
        <f t="shared" si="5"/>
        <v>137203.87007692317</v>
      </c>
      <c r="N62" s="277">
        <f t="shared" si="4"/>
        <v>0.25693608628637299</v>
      </c>
      <c r="O62" s="133"/>
      <c r="P62" s="6"/>
      <c r="Q62" s="134"/>
      <c r="R62" s="135"/>
      <c r="AB62" s="26">
        <v>75</v>
      </c>
      <c r="AC62" s="172" t="s">
        <v>125</v>
      </c>
      <c r="AD62" s="13">
        <f t="shared" si="7"/>
        <v>0.4</v>
      </c>
      <c r="AE62" s="172" t="s">
        <v>124</v>
      </c>
      <c r="AF62" s="113">
        <f t="shared" si="8"/>
        <v>0.4</v>
      </c>
    </row>
    <row r="63" spans="1:32" x14ac:dyDescent="0.25">
      <c r="A63" s="26"/>
      <c r="B63" s="1" t="s">
        <v>17</v>
      </c>
      <c r="C63" s="1">
        <v>86</v>
      </c>
      <c r="D63" s="1">
        <v>1</v>
      </c>
      <c r="E63" s="40">
        <f t="shared" si="15"/>
        <v>490845.6384676923</v>
      </c>
      <c r="F63" s="34" t="str">
        <f t="shared" si="16"/>
        <v>Forsker 2</v>
      </c>
      <c r="H63" s="55">
        <v>60</v>
      </c>
      <c r="I63" s="293">
        <v>543500</v>
      </c>
      <c r="J63" s="3"/>
      <c r="K63" s="4">
        <f t="shared" si="23"/>
        <v>543100</v>
      </c>
      <c r="L63" s="2">
        <f t="shared" si="24"/>
        <v>682618.09177692304</v>
      </c>
      <c r="M63" s="2">
        <f t="shared" si="5"/>
        <v>139518.09177692304</v>
      </c>
      <c r="N63" s="16">
        <f t="shared" si="4"/>
        <v>0.25689208576122824</v>
      </c>
      <c r="O63" s="133"/>
      <c r="P63" s="6"/>
      <c r="Q63" s="134"/>
      <c r="R63" s="135"/>
      <c r="AB63" s="26">
        <v>76</v>
      </c>
      <c r="AC63" s="172" t="s">
        <v>125</v>
      </c>
      <c r="AD63" s="13">
        <f t="shared" si="7"/>
        <v>0.4</v>
      </c>
      <c r="AE63" s="172" t="s">
        <v>124</v>
      </c>
      <c r="AF63" s="113">
        <f t="shared" si="8"/>
        <v>0.4</v>
      </c>
    </row>
    <row r="64" spans="1:32" x14ac:dyDescent="0.25">
      <c r="A64" s="26"/>
      <c r="B64" s="1" t="s">
        <v>9</v>
      </c>
      <c r="C64" s="1">
        <v>91</v>
      </c>
      <c r="D64" s="1">
        <v>0</v>
      </c>
      <c r="E64" s="40">
        <f t="shared" si="15"/>
        <v>552256.65983384615</v>
      </c>
      <c r="F64" s="34" t="str">
        <f t="shared" si="16"/>
        <v>Tekn./Adm. 1</v>
      </c>
      <c r="H64" s="55">
        <v>61</v>
      </c>
      <c r="I64" s="293">
        <v>553500</v>
      </c>
      <c r="J64" s="3"/>
      <c r="K64" s="4">
        <f t="shared" si="23"/>
        <v>553100</v>
      </c>
      <c r="L64" s="2">
        <f t="shared" si="24"/>
        <v>695161.19254615379</v>
      </c>
      <c r="M64" s="2">
        <f t="shared" si="5"/>
        <v>142061.19254615379</v>
      </c>
      <c r="N64" s="16">
        <f t="shared" si="4"/>
        <v>0.25684540326551036</v>
      </c>
      <c r="O64" s="133"/>
      <c r="P64" s="6"/>
      <c r="Q64" s="134"/>
      <c r="R64" s="135"/>
      <c r="AB64" s="26">
        <v>77</v>
      </c>
      <c r="AC64" s="172" t="s">
        <v>125</v>
      </c>
      <c r="AD64" s="13">
        <f t="shared" si="7"/>
        <v>0.4</v>
      </c>
      <c r="AE64" s="172" t="s">
        <v>124</v>
      </c>
      <c r="AF64" s="113">
        <f t="shared" si="8"/>
        <v>0.4</v>
      </c>
    </row>
    <row r="65" spans="1:32" x14ac:dyDescent="0.25">
      <c r="A65" s="26"/>
      <c r="B65" s="1" t="s">
        <v>42</v>
      </c>
      <c r="C65" s="1">
        <v>93</v>
      </c>
      <c r="D65" s="1">
        <v>0</v>
      </c>
      <c r="E65" s="40">
        <f t="shared" si="15"/>
        <v>575486.48245846166</v>
      </c>
      <c r="F65" s="34" t="str">
        <f t="shared" si="16"/>
        <v>Tekn./Adm. 1</v>
      </c>
      <c r="H65" s="55">
        <v>62</v>
      </c>
      <c r="I65" s="293">
        <v>563900</v>
      </c>
      <c r="J65" s="3"/>
      <c r="K65" s="4">
        <f t="shared" si="23"/>
        <v>563500</v>
      </c>
      <c r="L65" s="2">
        <f t="shared" si="24"/>
        <v>708206.01734615385</v>
      </c>
      <c r="M65" s="2">
        <f t="shared" si="5"/>
        <v>144706.01734615385</v>
      </c>
      <c r="N65" s="16">
        <f t="shared" si="4"/>
        <v>0.25679861108456764</v>
      </c>
      <c r="O65" s="133"/>
      <c r="P65" s="6"/>
      <c r="Q65" s="134"/>
      <c r="R65" s="135"/>
      <c r="AB65" s="26">
        <v>78</v>
      </c>
      <c r="AC65" s="172" t="s">
        <v>125</v>
      </c>
      <c r="AD65" s="13">
        <f t="shared" si="7"/>
        <v>0.4</v>
      </c>
      <c r="AE65" s="172" t="s">
        <v>124</v>
      </c>
      <c r="AF65" s="113">
        <f>VLOOKUP(AE65,$S$14:$X$20,6,FALSE)</f>
        <v>0.4</v>
      </c>
    </row>
    <row r="66" spans="1:32" x14ac:dyDescent="0.25">
      <c r="A66" s="26"/>
      <c r="B66" s="1" t="s">
        <v>10</v>
      </c>
      <c r="C66" s="1">
        <v>94</v>
      </c>
      <c r="D66" s="1">
        <v>0</v>
      </c>
      <c r="E66" s="40">
        <f>VLOOKUP(F66,$S$13:$X$27,6,FALSE)*VLOOKUP(C66,H:Q,5,FALSE)</f>
        <v>587126.4799723078</v>
      </c>
      <c r="F66" s="34" t="str">
        <f t="shared" si="16"/>
        <v>Tekn./Adm. 1</v>
      </c>
      <c r="H66" s="55">
        <v>63</v>
      </c>
      <c r="I66" s="293">
        <v>574700</v>
      </c>
      <c r="J66" s="3"/>
      <c r="K66" s="4">
        <f t="shared" si="23"/>
        <v>574300</v>
      </c>
      <c r="L66" s="2">
        <f t="shared" si="24"/>
        <v>721752.56617692311</v>
      </c>
      <c r="M66" s="2">
        <f t="shared" si="5"/>
        <v>147452.56617692311</v>
      </c>
      <c r="N66" s="16">
        <f t="shared" si="4"/>
        <v>0.25675181294954397</v>
      </c>
      <c r="O66" s="133"/>
      <c r="P66" s="6"/>
      <c r="Q66" s="134"/>
      <c r="R66" s="135"/>
      <c r="AB66" s="26">
        <v>79</v>
      </c>
      <c r="AC66" s="172" t="s">
        <v>125</v>
      </c>
      <c r="AD66" s="13">
        <f t="shared" si="7"/>
        <v>0.4</v>
      </c>
      <c r="AE66" s="172" t="s">
        <v>124</v>
      </c>
      <c r="AF66" s="113">
        <f t="shared" si="8"/>
        <v>0.4</v>
      </c>
    </row>
    <row r="67" spans="1:32" x14ac:dyDescent="0.25">
      <c r="A67" s="26"/>
      <c r="B67" s="78" t="s">
        <v>149</v>
      </c>
      <c r="C67" s="78">
        <v>1</v>
      </c>
      <c r="D67" s="78">
        <v>1</v>
      </c>
      <c r="E67" s="79">
        <v>490000</v>
      </c>
      <c r="F67" s="34"/>
      <c r="H67" s="55">
        <v>64</v>
      </c>
      <c r="I67" s="293">
        <v>583500</v>
      </c>
      <c r="J67" s="3"/>
      <c r="K67" s="4">
        <f t="shared" si="23"/>
        <v>583100</v>
      </c>
      <c r="L67" s="2">
        <f t="shared" si="24"/>
        <v>732790.49485384626</v>
      </c>
      <c r="M67" s="2">
        <f t="shared" si="5"/>
        <v>149690.49485384626</v>
      </c>
      <c r="N67" s="16">
        <f t="shared" si="4"/>
        <v>0.25671496287745887</v>
      </c>
      <c r="O67" s="133"/>
      <c r="P67" s="6"/>
      <c r="Q67" s="134"/>
      <c r="R67" s="135"/>
      <c r="AB67" s="26">
        <v>80</v>
      </c>
      <c r="AC67" s="172" t="s">
        <v>126</v>
      </c>
      <c r="AD67" s="13">
        <f t="shared" si="7"/>
        <v>0.4</v>
      </c>
      <c r="AE67" s="172" t="s">
        <v>127</v>
      </c>
      <c r="AF67" s="113">
        <f t="shared" si="8"/>
        <v>0.4</v>
      </c>
    </row>
    <row r="68" spans="1:32" x14ac:dyDescent="0.25">
      <c r="A68" s="26"/>
      <c r="B68" s="1" t="s">
        <v>163</v>
      </c>
      <c r="C68" s="105" t="s">
        <v>205</v>
      </c>
      <c r="D68" s="1">
        <v>0</v>
      </c>
      <c r="E68" s="40">
        <f t="shared" ref="E68:E81" si="25">VLOOKUP(F68,$S$13:$X$27,6,FALSE)*VLOOKUP(C68,H:Q,5,FALSE)</f>
        <v>242670.39020000002</v>
      </c>
      <c r="F68" s="34" t="str">
        <f>IF(D68=1,VLOOKUP(C68,$AB$89:$AF$172,2,FALSE),VLOOKUP(C68,$AB$89:$AF$172,4,FALSE))</f>
        <v>Tekn./Adm. 7</v>
      </c>
      <c r="H68" s="55">
        <v>65</v>
      </c>
      <c r="I68" s="293">
        <v>594300</v>
      </c>
      <c r="J68" s="3"/>
      <c r="K68" s="4">
        <f t="shared" si="23"/>
        <v>593900</v>
      </c>
      <c r="L68" s="2">
        <f t="shared" si="24"/>
        <v>746337.04368461552</v>
      </c>
      <c r="M68" s="2">
        <f t="shared" si="5"/>
        <v>152437.04368461552</v>
      </c>
      <c r="N68" s="16">
        <f t="shared" si="4"/>
        <v>0.25667123031590422</v>
      </c>
      <c r="O68" s="133"/>
      <c r="P68" s="6"/>
      <c r="Q68" s="134"/>
      <c r="R68" s="135"/>
      <c r="AB68" s="26">
        <v>81</v>
      </c>
      <c r="AC68" s="172" t="s">
        <v>126</v>
      </c>
      <c r="AD68" s="13">
        <f t="shared" si="7"/>
        <v>0.4</v>
      </c>
      <c r="AE68" s="172" t="s">
        <v>127</v>
      </c>
      <c r="AF68" s="113">
        <f t="shared" si="8"/>
        <v>0.4</v>
      </c>
    </row>
    <row r="69" spans="1:32" x14ac:dyDescent="0.25">
      <c r="A69" s="26"/>
      <c r="B69" s="1" t="s">
        <v>164</v>
      </c>
      <c r="C69" s="105" t="s">
        <v>215</v>
      </c>
      <c r="D69" s="1">
        <v>0</v>
      </c>
      <c r="E69" s="40">
        <f t="shared" si="25"/>
        <v>284647.04996000003</v>
      </c>
      <c r="F69" s="34" t="str">
        <f t="shared" ref="F69:F81" si="26">IF(D69=1,VLOOKUP(C69,$AB$89:$AF$172,2,FALSE),VLOOKUP(C69,$AB$89:$AF$172,4,FALSE))</f>
        <v>Tekn./Adm. 6</v>
      </c>
      <c r="H69" s="55">
        <v>66</v>
      </c>
      <c r="I69" s="293">
        <v>604700</v>
      </c>
      <c r="J69" s="3"/>
      <c r="K69" s="4">
        <f t="shared" si="23"/>
        <v>604300</v>
      </c>
      <c r="L69" s="2">
        <f t="shared" si="24"/>
        <v>759381.86848461546</v>
      </c>
      <c r="M69" s="2">
        <f t="shared" si="5"/>
        <v>155081.86848461546</v>
      </c>
      <c r="N69" s="16">
        <f t="shared" ref="N69:N104" si="27">M69/K69</f>
        <v>0.25663059487773532</v>
      </c>
      <c r="O69" s="133"/>
      <c r="P69" s="6"/>
      <c r="Q69" s="134"/>
      <c r="R69" s="135"/>
      <c r="AB69" s="26">
        <v>82</v>
      </c>
      <c r="AC69" s="172" t="s">
        <v>126</v>
      </c>
      <c r="AD69" s="13">
        <f t="shared" si="7"/>
        <v>0.4</v>
      </c>
      <c r="AE69" s="172" t="s">
        <v>127</v>
      </c>
      <c r="AF69" s="113">
        <f t="shared" si="8"/>
        <v>0.4</v>
      </c>
    </row>
    <row r="70" spans="1:32" x14ac:dyDescent="0.25">
      <c r="A70" s="26"/>
      <c r="B70" s="1" t="s">
        <v>165</v>
      </c>
      <c r="C70" s="105" t="s">
        <v>221</v>
      </c>
      <c r="D70" s="1">
        <v>0</v>
      </c>
      <c r="E70" s="40">
        <f t="shared" si="25"/>
        <v>316928.31324000005</v>
      </c>
      <c r="F70" s="34" t="str">
        <f t="shared" si="26"/>
        <v>Tekn./Adm. 5</v>
      </c>
      <c r="H70" s="55">
        <v>67</v>
      </c>
      <c r="I70" s="293">
        <v>615800</v>
      </c>
      <c r="J70" s="3"/>
      <c r="K70" s="4">
        <f t="shared" si="23"/>
        <v>615400</v>
      </c>
      <c r="L70" s="2">
        <f t="shared" si="24"/>
        <v>773304.71033846179</v>
      </c>
      <c r="M70" s="2">
        <f t="shared" ref="M70:M104" si="28">L70-K70</f>
        <v>157904.71033846179</v>
      </c>
      <c r="N70" s="16">
        <f t="shared" si="27"/>
        <v>0.25658873958151091</v>
      </c>
      <c r="O70" s="133"/>
      <c r="P70" s="6"/>
      <c r="Q70" s="134"/>
      <c r="R70" s="135"/>
      <c r="AB70" s="26">
        <v>83</v>
      </c>
      <c r="AC70" s="172" t="s">
        <v>126</v>
      </c>
      <c r="AD70" s="13">
        <f t="shared" ref="AD70:AD88" si="29">VLOOKUP(AC70,$S$21:$X$27,6,FALSE)</f>
        <v>0.4</v>
      </c>
      <c r="AE70" s="172" t="s">
        <v>127</v>
      </c>
      <c r="AF70" s="113">
        <f t="shared" ref="AF70:AF88" si="30">VLOOKUP(AE70,$S$14:$X$20,6,FALSE)</f>
        <v>0.4</v>
      </c>
    </row>
    <row r="71" spans="1:32" x14ac:dyDescent="0.25">
      <c r="A71" s="26"/>
      <c r="B71" s="1" t="s">
        <v>166</v>
      </c>
      <c r="C71" s="105" t="s">
        <v>227</v>
      </c>
      <c r="D71" s="1">
        <v>0</v>
      </c>
      <c r="E71" s="40">
        <f t="shared" si="25"/>
        <v>351743.60060000006</v>
      </c>
      <c r="F71" s="34" t="str">
        <f t="shared" si="26"/>
        <v>Tekn./Adm. 4</v>
      </c>
      <c r="H71" s="55">
        <v>68</v>
      </c>
      <c r="I71" s="293">
        <v>626100</v>
      </c>
      <c r="J71" s="3"/>
      <c r="K71" s="4">
        <f t="shared" si="23"/>
        <v>625700</v>
      </c>
      <c r="L71" s="2">
        <f t="shared" si="24"/>
        <v>786224.10413076926</v>
      </c>
      <c r="M71" s="2">
        <f t="shared" si="28"/>
        <v>160524.10413076926</v>
      </c>
      <c r="N71" s="16">
        <f t="shared" si="27"/>
        <v>0.25655122923249041</v>
      </c>
      <c r="O71" s="133"/>
      <c r="P71" s="6"/>
      <c r="Q71" s="134"/>
      <c r="R71" s="135"/>
      <c r="AB71" s="26">
        <v>84</v>
      </c>
      <c r="AC71" s="172" t="s">
        <v>126</v>
      </c>
      <c r="AD71" s="13">
        <f t="shared" si="29"/>
        <v>0.4</v>
      </c>
      <c r="AE71" s="172" t="s">
        <v>127</v>
      </c>
      <c r="AF71" s="113">
        <f t="shared" si="30"/>
        <v>0.4</v>
      </c>
    </row>
    <row r="72" spans="1:32" x14ac:dyDescent="0.25">
      <c r="A72" s="26"/>
      <c r="B72" s="1" t="s">
        <v>167</v>
      </c>
      <c r="C72" s="105" t="s">
        <v>234</v>
      </c>
      <c r="D72" s="1">
        <v>0</v>
      </c>
      <c r="E72" s="40">
        <f t="shared" si="25"/>
        <v>404903.01880000008</v>
      </c>
      <c r="F72" s="34" t="str">
        <f t="shared" si="26"/>
        <v>Tekn./Adm. 3</v>
      </c>
      <c r="H72" s="55">
        <v>69</v>
      </c>
      <c r="I72" s="293">
        <v>637900</v>
      </c>
      <c r="J72" s="3"/>
      <c r="K72" s="4">
        <f t="shared" si="23"/>
        <v>637500</v>
      </c>
      <c r="L72" s="2">
        <f t="shared" si="24"/>
        <v>801024.96303846175</v>
      </c>
      <c r="M72" s="2">
        <f t="shared" si="28"/>
        <v>163524.96303846175</v>
      </c>
      <c r="N72" s="16">
        <f t="shared" si="27"/>
        <v>0.25650974594268511</v>
      </c>
      <c r="O72" s="133"/>
      <c r="P72" s="6"/>
      <c r="Q72" s="134"/>
      <c r="R72" s="135"/>
      <c r="AB72" s="26">
        <v>85</v>
      </c>
      <c r="AC72" s="172" t="s">
        <v>126</v>
      </c>
      <c r="AD72" s="13">
        <f t="shared" si="29"/>
        <v>0.4</v>
      </c>
      <c r="AE72" s="172" t="s">
        <v>127</v>
      </c>
      <c r="AF72" s="113">
        <f t="shared" si="30"/>
        <v>0.4</v>
      </c>
    </row>
    <row r="73" spans="1:32" x14ac:dyDescent="0.25">
      <c r="A73" s="26"/>
      <c r="B73" s="1" t="s">
        <v>168</v>
      </c>
      <c r="C73" s="105" t="s">
        <v>242</v>
      </c>
      <c r="D73" s="1">
        <v>0</v>
      </c>
      <c r="E73" s="40">
        <f t="shared" si="25"/>
        <v>506980.11924000003</v>
      </c>
      <c r="F73" s="34" t="str">
        <f t="shared" si="26"/>
        <v>Tekn./Adm. 2</v>
      </c>
      <c r="H73" s="55">
        <v>70</v>
      </c>
      <c r="I73" s="293">
        <v>650300</v>
      </c>
      <c r="J73" s="3"/>
      <c r="K73" s="4">
        <f t="shared" si="23"/>
        <v>649900</v>
      </c>
      <c r="L73" s="2">
        <f t="shared" si="24"/>
        <v>816578.4079923078</v>
      </c>
      <c r="M73" s="2">
        <f t="shared" si="28"/>
        <v>166678.4079923078</v>
      </c>
      <c r="N73" s="16">
        <f t="shared" si="27"/>
        <v>0.25646777656917646</v>
      </c>
      <c r="O73" s="133"/>
      <c r="P73" s="6"/>
      <c r="Q73" s="134"/>
      <c r="R73" s="135"/>
      <c r="AB73" s="26">
        <v>86</v>
      </c>
      <c r="AC73" s="172" t="s">
        <v>126</v>
      </c>
      <c r="AD73" s="13">
        <f t="shared" si="29"/>
        <v>0.4</v>
      </c>
      <c r="AE73" s="172" t="s">
        <v>127</v>
      </c>
      <c r="AF73" s="113">
        <f t="shared" si="30"/>
        <v>0.4</v>
      </c>
    </row>
    <row r="74" spans="1:32" x14ac:dyDescent="0.25">
      <c r="A74" s="26"/>
      <c r="B74" s="1" t="s">
        <v>169</v>
      </c>
      <c r="C74" s="105" t="s">
        <v>255</v>
      </c>
      <c r="D74" s="1">
        <v>0</v>
      </c>
      <c r="E74" s="40">
        <f t="shared" si="25"/>
        <v>682543.91800000018</v>
      </c>
      <c r="F74" s="34" t="str">
        <f t="shared" si="26"/>
        <v>Tekn./Adm. 1</v>
      </c>
      <c r="H74" s="55">
        <v>71</v>
      </c>
      <c r="I74" s="293">
        <v>665700</v>
      </c>
      <c r="J74" s="3"/>
      <c r="K74" s="4">
        <f t="shared" si="23"/>
        <v>665300</v>
      </c>
      <c r="L74" s="2">
        <f t="shared" si="24"/>
        <v>835894.78317692317</v>
      </c>
      <c r="M74" s="2">
        <f t="shared" si="28"/>
        <v>170594.78317692317</v>
      </c>
      <c r="N74" s="16">
        <f t="shared" si="27"/>
        <v>0.2564178313195899</v>
      </c>
      <c r="O74" s="133"/>
      <c r="P74" s="6"/>
      <c r="Q74" s="134"/>
      <c r="R74" s="135"/>
      <c r="AB74" s="26">
        <v>87</v>
      </c>
      <c r="AC74" s="172" t="s">
        <v>126</v>
      </c>
      <c r="AD74" s="13">
        <f t="shared" si="29"/>
        <v>0.4</v>
      </c>
      <c r="AE74" s="172" t="s">
        <v>127</v>
      </c>
      <c r="AF74" s="113">
        <f>VLOOKUP(AE74,$S$14:$X$20,6,FALSE)</f>
        <v>0.4</v>
      </c>
    </row>
    <row r="75" spans="1:32" x14ac:dyDescent="0.25">
      <c r="A75" s="26"/>
      <c r="B75" s="1" t="s">
        <v>170</v>
      </c>
      <c r="C75" s="105" t="s">
        <v>188</v>
      </c>
      <c r="D75" s="1">
        <v>1</v>
      </c>
      <c r="E75" s="40">
        <f t="shared" si="25"/>
        <v>194854.45756000004</v>
      </c>
      <c r="F75" s="34" t="str">
        <f t="shared" si="26"/>
        <v>Forsker 7</v>
      </c>
      <c r="H75" s="55">
        <v>72</v>
      </c>
      <c r="I75" s="293">
        <v>677600</v>
      </c>
      <c r="J75" s="3"/>
      <c r="K75" s="4">
        <f t="shared" si="23"/>
        <v>677200</v>
      </c>
      <c r="L75" s="2">
        <f t="shared" si="24"/>
        <v>850821.07309230778</v>
      </c>
      <c r="M75" s="2">
        <f t="shared" si="28"/>
        <v>173621.07309230778</v>
      </c>
      <c r="N75" s="16">
        <f t="shared" si="27"/>
        <v>0.25638079310736528</v>
      </c>
      <c r="O75" s="133"/>
      <c r="P75" s="6"/>
      <c r="Q75" s="134"/>
      <c r="R75" s="135"/>
      <c r="AB75" s="26">
        <v>88</v>
      </c>
      <c r="AC75" s="172" t="s">
        <v>126</v>
      </c>
      <c r="AD75" s="13">
        <f t="shared" si="29"/>
        <v>0.4</v>
      </c>
      <c r="AE75" s="172" t="s">
        <v>127</v>
      </c>
      <c r="AF75" s="113">
        <f>VLOOKUP(AE75,$S$14:$X$20,6,FALSE)</f>
        <v>0.4</v>
      </c>
    </row>
    <row r="76" spans="1:32" x14ac:dyDescent="0.25">
      <c r="A76" s="26"/>
      <c r="B76" s="1" t="s">
        <v>171</v>
      </c>
      <c r="C76" s="105" t="s">
        <v>215</v>
      </c>
      <c r="D76" s="1">
        <v>1</v>
      </c>
      <c r="E76" s="40">
        <f t="shared" si="25"/>
        <v>284647.04996000003</v>
      </c>
      <c r="F76" s="34" t="str">
        <f t="shared" si="26"/>
        <v>Forsker 6</v>
      </c>
      <c r="H76" s="55">
        <v>73</v>
      </c>
      <c r="I76" s="293">
        <v>689600</v>
      </c>
      <c r="J76" s="3"/>
      <c r="K76" s="4">
        <f t="shared" si="23"/>
        <v>689200</v>
      </c>
      <c r="L76" s="2">
        <f t="shared" si="24"/>
        <v>865872.79401538474</v>
      </c>
      <c r="M76" s="2">
        <f t="shared" si="28"/>
        <v>176672.79401538474</v>
      </c>
      <c r="N76" s="16">
        <f t="shared" si="27"/>
        <v>0.25634473884994885</v>
      </c>
      <c r="O76" s="133"/>
      <c r="P76" s="6"/>
      <c r="Q76" s="134"/>
      <c r="R76" s="135"/>
      <c r="AB76" s="26">
        <v>89</v>
      </c>
      <c r="AC76" s="172" t="s">
        <v>126</v>
      </c>
      <c r="AD76" s="13">
        <f t="shared" si="29"/>
        <v>0.4</v>
      </c>
      <c r="AE76" s="172" t="s">
        <v>127</v>
      </c>
      <c r="AF76" s="113">
        <f t="shared" si="30"/>
        <v>0.4</v>
      </c>
    </row>
    <row r="77" spans="1:32" x14ac:dyDescent="0.25">
      <c r="A77" s="26"/>
      <c r="B77" s="1" t="s">
        <v>172</v>
      </c>
      <c r="C77" s="105" t="s">
        <v>222</v>
      </c>
      <c r="D77" s="1">
        <v>1</v>
      </c>
      <c r="E77" s="40">
        <f t="shared" si="25"/>
        <v>321776.0114800001</v>
      </c>
      <c r="F77" s="34" t="str">
        <f t="shared" si="26"/>
        <v>Forsker 5</v>
      </c>
      <c r="H77" s="55">
        <v>74</v>
      </c>
      <c r="I77" s="293">
        <v>702100</v>
      </c>
      <c r="J77" s="3"/>
      <c r="K77" s="4">
        <f t="shared" si="23"/>
        <v>701700</v>
      </c>
      <c r="L77" s="2">
        <f t="shared" si="24"/>
        <v>881551.66997692315</v>
      </c>
      <c r="M77" s="2">
        <f t="shared" si="28"/>
        <v>179851.66997692315</v>
      </c>
      <c r="N77" s="16">
        <f t="shared" si="27"/>
        <v>0.25630849362537145</v>
      </c>
      <c r="O77" s="133"/>
      <c r="P77" s="6"/>
      <c r="Q77" s="134"/>
      <c r="R77" s="135"/>
      <c r="AB77" s="26">
        <v>90</v>
      </c>
      <c r="AC77" s="172" t="s">
        <v>129</v>
      </c>
      <c r="AD77" s="13">
        <f t="shared" si="29"/>
        <v>0.4</v>
      </c>
      <c r="AE77" s="172" t="s">
        <v>128</v>
      </c>
      <c r="AF77" s="113">
        <f t="shared" si="30"/>
        <v>0.4</v>
      </c>
    </row>
    <row r="78" spans="1:32" x14ac:dyDescent="0.25">
      <c r="A78" s="26"/>
      <c r="B78" s="1" t="s">
        <v>173</v>
      </c>
      <c r="C78" s="105" t="s">
        <v>228</v>
      </c>
      <c r="D78" s="1">
        <v>1</v>
      </c>
      <c r="E78" s="40">
        <f t="shared" si="25"/>
        <v>358574.44812000007</v>
      </c>
      <c r="F78" s="34" t="str">
        <f t="shared" si="26"/>
        <v>Forsker 4</v>
      </c>
      <c r="H78" s="55">
        <v>75</v>
      </c>
      <c r="I78" s="293">
        <v>715900</v>
      </c>
      <c r="J78" s="3"/>
      <c r="K78" s="4">
        <f t="shared" si="23"/>
        <v>715500</v>
      </c>
      <c r="L78" s="2">
        <f t="shared" si="24"/>
        <v>898861.14903846174</v>
      </c>
      <c r="M78" s="2">
        <f t="shared" si="28"/>
        <v>183361.14903846174</v>
      </c>
      <c r="N78" s="16">
        <f t="shared" si="27"/>
        <v>0.25626994973928963</v>
      </c>
      <c r="O78" s="133"/>
      <c r="P78" s="6"/>
      <c r="Q78" s="134"/>
      <c r="R78" s="135"/>
      <c r="AB78" s="26">
        <v>91</v>
      </c>
      <c r="AC78" s="172" t="s">
        <v>129</v>
      </c>
      <c r="AD78" s="13">
        <f t="shared" si="29"/>
        <v>0.4</v>
      </c>
      <c r="AE78" s="172" t="s">
        <v>128</v>
      </c>
      <c r="AF78" s="113">
        <f t="shared" si="30"/>
        <v>0.4</v>
      </c>
    </row>
    <row r="79" spans="1:32" x14ac:dyDescent="0.25">
      <c r="A79" s="26"/>
      <c r="B79" s="1" t="s">
        <v>174</v>
      </c>
      <c r="C79" s="105" t="s">
        <v>235</v>
      </c>
      <c r="D79" s="1">
        <v>1</v>
      </c>
      <c r="E79" s="40">
        <f t="shared" si="25"/>
        <v>415039.11512000009</v>
      </c>
      <c r="F79" s="34" t="str">
        <f t="shared" si="26"/>
        <v>Forsker 3</v>
      </c>
      <c r="H79" s="55">
        <v>76</v>
      </c>
      <c r="I79" s="293">
        <v>734400</v>
      </c>
      <c r="J79" s="3"/>
      <c r="K79" s="4">
        <f t="shared" si="23"/>
        <v>734000</v>
      </c>
      <c r="L79" s="2">
        <f t="shared" si="24"/>
        <v>922065.88546153845</v>
      </c>
      <c r="M79" s="2">
        <f t="shared" si="28"/>
        <v>188065.88546153845</v>
      </c>
      <c r="N79" s="16">
        <f t="shared" si="27"/>
        <v>0.25622055239991615</v>
      </c>
      <c r="O79" s="133"/>
      <c r="P79" s="6"/>
      <c r="Q79" s="134"/>
      <c r="R79" s="135"/>
      <c r="AB79" s="26">
        <v>92</v>
      </c>
      <c r="AC79" s="172" t="s">
        <v>129</v>
      </c>
      <c r="AD79" s="13">
        <f t="shared" si="29"/>
        <v>0.4</v>
      </c>
      <c r="AE79" s="172" t="s">
        <v>128</v>
      </c>
      <c r="AF79" s="113">
        <f t="shared" si="30"/>
        <v>0.4</v>
      </c>
    </row>
    <row r="80" spans="1:32" x14ac:dyDescent="0.25">
      <c r="A80" s="26"/>
      <c r="B80" s="1" t="s">
        <v>175</v>
      </c>
      <c r="C80" s="105" t="s">
        <v>241</v>
      </c>
      <c r="D80" s="1">
        <v>1</v>
      </c>
      <c r="E80" s="40">
        <f t="shared" si="25"/>
        <v>494199.82388000016</v>
      </c>
      <c r="F80" s="34" t="str">
        <f t="shared" si="26"/>
        <v>Forsker 2</v>
      </c>
      <c r="H80" s="55">
        <v>77</v>
      </c>
      <c r="I80" s="293">
        <v>752800</v>
      </c>
      <c r="J80" s="3"/>
      <c r="K80" s="4">
        <f t="shared" si="23"/>
        <v>752400</v>
      </c>
      <c r="L80" s="2">
        <f t="shared" si="24"/>
        <v>945145.19087692315</v>
      </c>
      <c r="M80" s="2">
        <f t="shared" si="28"/>
        <v>192745.19087692315</v>
      </c>
      <c r="N80" s="16">
        <f t="shared" si="27"/>
        <v>0.25617383157485801</v>
      </c>
      <c r="O80" s="133"/>
      <c r="P80" s="6"/>
      <c r="Q80" s="134"/>
      <c r="R80" s="135"/>
      <c r="AB80" s="26">
        <v>93</v>
      </c>
      <c r="AC80" s="172" t="s">
        <v>129</v>
      </c>
      <c r="AD80" s="13">
        <f t="shared" si="29"/>
        <v>0.4</v>
      </c>
      <c r="AE80" s="172" t="s">
        <v>128</v>
      </c>
      <c r="AF80" s="113">
        <f t="shared" si="30"/>
        <v>0.4</v>
      </c>
    </row>
    <row r="81" spans="1:32" ht="15.75" thickBot="1" x14ac:dyDescent="0.3">
      <c r="A81" s="26"/>
      <c r="B81" s="36" t="s">
        <v>176</v>
      </c>
      <c r="C81" s="106" t="s">
        <v>253</v>
      </c>
      <c r="D81" s="36">
        <v>1</v>
      </c>
      <c r="E81" s="41">
        <f t="shared" si="25"/>
        <v>657479.1146000002</v>
      </c>
      <c r="F81" s="34" t="str">
        <f t="shared" si="26"/>
        <v>Forsker 1</v>
      </c>
      <c r="H81" s="55">
        <v>78</v>
      </c>
      <c r="I81" s="293">
        <v>776900</v>
      </c>
      <c r="J81" s="3"/>
      <c r="K81" s="4">
        <f t="shared" si="23"/>
        <v>776500</v>
      </c>
      <c r="L81" s="2">
        <f t="shared" si="24"/>
        <v>975374.06373076944</v>
      </c>
      <c r="M81" s="2">
        <f t="shared" si="28"/>
        <v>198874.06373076944</v>
      </c>
      <c r="N81" s="16">
        <f t="shared" si="27"/>
        <v>0.25611598677497677</v>
      </c>
      <c r="O81" s="133"/>
      <c r="P81" s="6"/>
      <c r="Q81" s="134"/>
      <c r="R81" s="135"/>
      <c r="AB81" s="26">
        <v>94</v>
      </c>
      <c r="AC81" s="172" t="s">
        <v>129</v>
      </c>
      <c r="AD81" s="13">
        <f t="shared" si="29"/>
        <v>0.4</v>
      </c>
      <c r="AE81" s="172" t="s">
        <v>128</v>
      </c>
      <c r="AF81" s="113">
        <f t="shared" si="30"/>
        <v>0.4</v>
      </c>
    </row>
    <row r="82" spans="1:32" x14ac:dyDescent="0.25">
      <c r="A82" s="26"/>
      <c r="H82" s="55">
        <v>79</v>
      </c>
      <c r="I82" s="293">
        <v>801300</v>
      </c>
      <c r="J82" s="3"/>
      <c r="K82" s="4">
        <f t="shared" si="23"/>
        <v>800900</v>
      </c>
      <c r="L82" s="2">
        <f t="shared" si="24"/>
        <v>1005979.2296076923</v>
      </c>
      <c r="M82" s="2">
        <f t="shared" si="28"/>
        <v>205079.22960769234</v>
      </c>
      <c r="N82" s="16">
        <f t="shared" si="27"/>
        <v>0.25606096842014275</v>
      </c>
      <c r="O82" s="133"/>
      <c r="P82" s="6"/>
      <c r="Q82" s="134"/>
      <c r="R82" s="135"/>
      <c r="AB82" s="26">
        <v>95</v>
      </c>
      <c r="AC82" s="172" t="s">
        <v>129</v>
      </c>
      <c r="AD82" s="13">
        <f t="shared" si="29"/>
        <v>0.4</v>
      </c>
      <c r="AE82" s="172" t="s">
        <v>128</v>
      </c>
      <c r="AF82" s="113">
        <f t="shared" si="30"/>
        <v>0.4</v>
      </c>
    </row>
    <row r="83" spans="1:32" x14ac:dyDescent="0.25">
      <c r="A83" s="26"/>
      <c r="H83" s="55">
        <v>80</v>
      </c>
      <c r="I83" s="293">
        <v>825900</v>
      </c>
      <c r="J83" s="3"/>
      <c r="K83" s="4">
        <f t="shared" si="23"/>
        <v>825500</v>
      </c>
      <c r="L83" s="2">
        <f t="shared" si="24"/>
        <v>1036835.2575000002</v>
      </c>
      <c r="M83" s="2">
        <f t="shared" si="28"/>
        <v>211335.25750000018</v>
      </c>
      <c r="N83" s="16">
        <f t="shared" si="27"/>
        <v>0.25600879164142964</v>
      </c>
      <c r="O83" s="133"/>
      <c r="P83" s="6"/>
      <c r="Q83" s="134"/>
      <c r="R83" s="135"/>
      <c r="AB83" s="26">
        <v>96</v>
      </c>
      <c r="AC83" s="172" t="s">
        <v>129</v>
      </c>
      <c r="AD83" s="13">
        <f t="shared" si="29"/>
        <v>0.4</v>
      </c>
      <c r="AE83" s="172" t="s">
        <v>128</v>
      </c>
      <c r="AF83" s="113">
        <f t="shared" si="30"/>
        <v>0.4</v>
      </c>
    </row>
    <row r="84" spans="1:32" x14ac:dyDescent="0.25">
      <c r="A84" s="26"/>
      <c r="H84" s="55">
        <v>81</v>
      </c>
      <c r="I84" s="293">
        <v>850000</v>
      </c>
      <c r="J84" s="3"/>
      <c r="K84" s="4">
        <f t="shared" si="23"/>
        <v>849600</v>
      </c>
      <c r="L84" s="2">
        <f t="shared" si="24"/>
        <v>1067064.1303538461</v>
      </c>
      <c r="M84" s="2">
        <f t="shared" si="28"/>
        <v>217464.13035384612</v>
      </c>
      <c r="N84" s="16">
        <f t="shared" si="27"/>
        <v>0.25596060540706933</v>
      </c>
      <c r="O84" s="133"/>
      <c r="P84" s="6"/>
      <c r="Q84" s="134"/>
      <c r="R84" s="135"/>
      <c r="AB84" s="26">
        <v>97</v>
      </c>
      <c r="AC84" s="172" t="s">
        <v>129</v>
      </c>
      <c r="AD84" s="13">
        <f t="shared" si="29"/>
        <v>0.4</v>
      </c>
      <c r="AE84" s="172" t="s">
        <v>128</v>
      </c>
      <c r="AF84" s="113">
        <f t="shared" si="30"/>
        <v>0.4</v>
      </c>
    </row>
    <row r="85" spans="1:32" x14ac:dyDescent="0.25">
      <c r="A85" s="26"/>
      <c r="H85" s="55">
        <v>82</v>
      </c>
      <c r="I85" s="293">
        <v>873400</v>
      </c>
      <c r="J85" s="3"/>
      <c r="K85" s="4">
        <f t="shared" si="23"/>
        <v>873000</v>
      </c>
      <c r="L85" s="2">
        <f t="shared" si="24"/>
        <v>1096414.9861538464</v>
      </c>
      <c r="M85" s="2">
        <f t="shared" si="28"/>
        <v>223414.98615384637</v>
      </c>
      <c r="N85" s="16">
        <f t="shared" si="27"/>
        <v>0.25591636443739563</v>
      </c>
      <c r="O85" s="133"/>
      <c r="P85" s="6"/>
      <c r="Q85" s="134"/>
      <c r="R85" s="135"/>
      <c r="AB85" s="26">
        <v>98</v>
      </c>
      <c r="AC85" s="172" t="s">
        <v>129</v>
      </c>
      <c r="AD85" s="13">
        <f t="shared" si="29"/>
        <v>0.4</v>
      </c>
      <c r="AE85" s="172" t="s">
        <v>128</v>
      </c>
      <c r="AF85" s="113">
        <f t="shared" si="30"/>
        <v>0.4</v>
      </c>
    </row>
    <row r="86" spans="1:32" x14ac:dyDescent="0.25">
      <c r="A86" s="26"/>
      <c r="H86" s="55">
        <v>83</v>
      </c>
      <c r="I86" s="293">
        <v>896500</v>
      </c>
      <c r="J86" s="3"/>
      <c r="K86" s="4">
        <f t="shared" si="23"/>
        <v>896100</v>
      </c>
      <c r="L86" s="2">
        <f t="shared" ref="L86:L117" si="31">((K86*(1-5/52)*1.12+K86*0.087+1229)*1.141)</f>
        <v>1125389.5489307693</v>
      </c>
      <c r="M86" s="2">
        <f t="shared" si="28"/>
        <v>229289.54893076932</v>
      </c>
      <c r="N86" s="16">
        <f t="shared" si="27"/>
        <v>0.25587495695878731</v>
      </c>
      <c r="O86" s="133"/>
      <c r="P86" s="6"/>
      <c r="Q86" s="134"/>
      <c r="R86" s="135"/>
      <c r="AB86" s="26">
        <v>99</v>
      </c>
      <c r="AC86" s="172" t="s">
        <v>129</v>
      </c>
      <c r="AD86" s="13">
        <f t="shared" si="29"/>
        <v>0.4</v>
      </c>
      <c r="AE86" s="172" t="s">
        <v>128</v>
      </c>
      <c r="AF86" s="113">
        <f t="shared" si="30"/>
        <v>0.4</v>
      </c>
    </row>
    <row r="87" spans="1:32" x14ac:dyDescent="0.25">
      <c r="A87" s="26"/>
      <c r="H87" s="57">
        <v>84</v>
      </c>
      <c r="I87" s="293">
        <v>919700</v>
      </c>
      <c r="J87" s="3"/>
      <c r="K87" s="4">
        <f t="shared" ref="K87:K104" si="32">I87-400</f>
        <v>919300</v>
      </c>
      <c r="L87" s="2">
        <f t="shared" si="31"/>
        <v>1154489.5427153846</v>
      </c>
      <c r="M87" s="2">
        <f t="shared" si="28"/>
        <v>235189.54271538462</v>
      </c>
      <c r="N87" s="16">
        <f t="shared" si="27"/>
        <v>0.25583546471813839</v>
      </c>
      <c r="O87" s="133"/>
      <c r="P87" s="6"/>
      <c r="Q87" s="134"/>
      <c r="R87" s="135"/>
      <c r="AB87" s="26">
        <v>100</v>
      </c>
      <c r="AC87" s="172" t="s">
        <v>129</v>
      </c>
      <c r="AD87" s="13">
        <f t="shared" si="29"/>
        <v>0.4</v>
      </c>
      <c r="AE87" s="172" t="s">
        <v>128</v>
      </c>
      <c r="AF87" s="113">
        <f t="shared" si="30"/>
        <v>0.4</v>
      </c>
    </row>
    <row r="88" spans="1:32" ht="15.75" thickBot="1" x14ac:dyDescent="0.3">
      <c r="A88" s="26"/>
      <c r="H88" s="57">
        <v>85</v>
      </c>
      <c r="I88" s="293">
        <v>948900</v>
      </c>
      <c r="J88" s="3"/>
      <c r="K88" s="4">
        <f t="shared" si="32"/>
        <v>948500</v>
      </c>
      <c r="L88" s="2">
        <f t="shared" si="31"/>
        <v>1191115.3969615386</v>
      </c>
      <c r="M88" s="2">
        <f t="shared" si="28"/>
        <v>242615.39696153859</v>
      </c>
      <c r="N88" s="16">
        <f t="shared" si="27"/>
        <v>0.2557885049673575</v>
      </c>
      <c r="O88" s="133"/>
      <c r="P88" s="6"/>
      <c r="Q88" s="134"/>
      <c r="R88" s="135"/>
      <c r="AB88" s="35">
        <v>101</v>
      </c>
      <c r="AC88" s="36" t="s">
        <v>129</v>
      </c>
      <c r="AD88" s="114">
        <f t="shared" si="29"/>
        <v>0.4</v>
      </c>
      <c r="AE88" s="36" t="s">
        <v>128</v>
      </c>
      <c r="AF88" s="115">
        <f t="shared" si="30"/>
        <v>0.4</v>
      </c>
    </row>
    <row r="89" spans="1:32" x14ac:dyDescent="0.25">
      <c r="A89" s="26"/>
      <c r="H89" s="57">
        <v>86</v>
      </c>
      <c r="I89" s="293">
        <v>977600</v>
      </c>
      <c r="J89" s="3"/>
      <c r="K89" s="4">
        <f t="shared" si="32"/>
        <v>977200</v>
      </c>
      <c r="L89" s="2">
        <f t="shared" si="31"/>
        <v>1227114.0961692308</v>
      </c>
      <c r="M89" s="2">
        <f t="shared" si="28"/>
        <v>249914.09616923076</v>
      </c>
      <c r="N89" s="16">
        <f t="shared" si="27"/>
        <v>0.25574508408640068</v>
      </c>
      <c r="O89" s="133"/>
      <c r="P89" s="6"/>
      <c r="Q89" s="134"/>
      <c r="R89" s="135"/>
      <c r="AB89" s="172" t="s">
        <v>273</v>
      </c>
      <c r="AC89" s="172" t="str">
        <f t="shared" ref="AC89:AC152" si="33">AC5</f>
        <v>Forsker 7</v>
      </c>
      <c r="AD89" s="13">
        <f>VLOOKUP(AC89,$S$21:$X$27,6,FALSE)</f>
        <v>0.4</v>
      </c>
      <c r="AE89" s="172" t="str">
        <f t="shared" ref="AE89:AE152" si="34">AE5</f>
        <v>Tekn./Adm. 7</v>
      </c>
      <c r="AF89" s="113">
        <f>VLOOKUP(AE89,$S$14:$X$20,6,FALSE)</f>
        <v>0.4</v>
      </c>
    </row>
    <row r="90" spans="1:32" ht="15.75" thickBot="1" x14ac:dyDescent="0.3">
      <c r="A90" s="35"/>
      <c r="H90" s="57">
        <v>87</v>
      </c>
      <c r="I90" s="293">
        <v>1007100</v>
      </c>
      <c r="J90" s="3"/>
      <c r="K90" s="4">
        <f t="shared" si="32"/>
        <v>1006700</v>
      </c>
      <c r="L90" s="2">
        <f t="shared" si="31"/>
        <v>1264116.2434384616</v>
      </c>
      <c r="M90" s="2">
        <f t="shared" si="28"/>
        <v>257416.24343846156</v>
      </c>
      <c r="N90" s="16">
        <f t="shared" si="27"/>
        <v>0.25570303311658049</v>
      </c>
      <c r="O90" s="133"/>
      <c r="P90" s="6"/>
      <c r="Q90" s="134"/>
      <c r="R90" s="135"/>
      <c r="AB90" s="172" t="s">
        <v>177</v>
      </c>
      <c r="AC90" s="172" t="str">
        <f t="shared" si="33"/>
        <v>Forsker 7</v>
      </c>
      <c r="AD90" s="13">
        <f t="shared" ref="AD90:AD153" si="35">VLOOKUP(AC90,$S$21:$X$27,6,FALSE)</f>
        <v>0.4</v>
      </c>
      <c r="AE90" s="172" t="str">
        <f t="shared" si="34"/>
        <v>Tekn./Adm. 7</v>
      </c>
      <c r="AF90" s="113">
        <f t="shared" ref="AF90:AF153" si="36">VLOOKUP(AE90,$S$14:$X$20,6,FALSE)</f>
        <v>0.4</v>
      </c>
    </row>
    <row r="91" spans="1:32" x14ac:dyDescent="0.25">
      <c r="H91" s="57">
        <v>88</v>
      </c>
      <c r="I91" s="293">
        <v>1030100</v>
      </c>
      <c r="J91" s="3"/>
      <c r="K91" s="4">
        <f t="shared" si="32"/>
        <v>1029700</v>
      </c>
      <c r="L91" s="2">
        <f t="shared" si="31"/>
        <v>1292965.3752076924</v>
      </c>
      <c r="M91" s="2">
        <f t="shared" si="28"/>
        <v>263265.37520769238</v>
      </c>
      <c r="N91" s="16">
        <f t="shared" si="27"/>
        <v>0.25567191920723742</v>
      </c>
      <c r="O91" s="133"/>
      <c r="P91" s="6"/>
      <c r="Q91" s="134"/>
      <c r="R91" s="135"/>
      <c r="AB91" s="172" t="s">
        <v>178</v>
      </c>
      <c r="AC91" s="172" t="str">
        <f t="shared" si="33"/>
        <v>Forsker 7</v>
      </c>
      <c r="AD91" s="13">
        <f t="shared" si="35"/>
        <v>0.4</v>
      </c>
      <c r="AE91" s="172" t="str">
        <f t="shared" si="34"/>
        <v>Tekn./Adm. 7</v>
      </c>
      <c r="AF91" s="113">
        <f t="shared" si="36"/>
        <v>0.4</v>
      </c>
    </row>
    <row r="92" spans="1:32" x14ac:dyDescent="0.25">
      <c r="H92" s="58">
        <v>89</v>
      </c>
      <c r="I92" s="293">
        <v>1053300</v>
      </c>
      <c r="J92" s="3"/>
      <c r="K92" s="4">
        <f t="shared" si="32"/>
        <v>1052900</v>
      </c>
      <c r="L92" s="2">
        <f t="shared" si="31"/>
        <v>1322065.3689923077</v>
      </c>
      <c r="M92" s="2">
        <f t="shared" si="28"/>
        <v>269165.36899230769</v>
      </c>
      <c r="N92" s="16">
        <f t="shared" si="27"/>
        <v>0.25564191185516921</v>
      </c>
      <c r="O92" s="133"/>
      <c r="P92" s="6"/>
      <c r="Q92" s="134"/>
      <c r="R92" s="135"/>
      <c r="AB92" s="172" t="s">
        <v>179</v>
      </c>
      <c r="AC92" s="172" t="str">
        <f t="shared" si="33"/>
        <v>Forsker 7</v>
      </c>
      <c r="AD92" s="13">
        <f t="shared" si="35"/>
        <v>0.4</v>
      </c>
      <c r="AE92" s="172" t="str">
        <f t="shared" si="34"/>
        <v>Tekn./Adm. 7</v>
      </c>
      <c r="AF92" s="113">
        <f t="shared" si="36"/>
        <v>0.4</v>
      </c>
    </row>
    <row r="93" spans="1:32" x14ac:dyDescent="0.25">
      <c r="H93" s="58">
        <v>90</v>
      </c>
      <c r="I93" s="293">
        <v>1076500</v>
      </c>
      <c r="J93" s="3"/>
      <c r="K93" s="4">
        <f t="shared" si="32"/>
        <v>1076100</v>
      </c>
      <c r="L93" s="2">
        <f t="shared" si="31"/>
        <v>1351165.362776923</v>
      </c>
      <c r="M93" s="2">
        <f t="shared" si="28"/>
        <v>275065.36277692299</v>
      </c>
      <c r="N93" s="16">
        <f t="shared" si="27"/>
        <v>0.25561319838019048</v>
      </c>
      <c r="O93" s="133"/>
      <c r="P93" s="6"/>
      <c r="Q93" s="134"/>
      <c r="R93" s="135"/>
      <c r="AB93" s="172" t="s">
        <v>180</v>
      </c>
      <c r="AC93" s="172" t="str">
        <f t="shared" si="33"/>
        <v>Forsker 7</v>
      </c>
      <c r="AD93" s="13">
        <f t="shared" si="35"/>
        <v>0.4</v>
      </c>
      <c r="AE93" s="172" t="str">
        <f t="shared" si="34"/>
        <v>Tekn./Adm. 7</v>
      </c>
      <c r="AF93" s="113">
        <f t="shared" si="36"/>
        <v>0.4</v>
      </c>
    </row>
    <row r="94" spans="1:32" x14ac:dyDescent="0.25">
      <c r="H94" s="58">
        <v>91</v>
      </c>
      <c r="I94" s="293">
        <v>1100000</v>
      </c>
      <c r="J94" s="3"/>
      <c r="K94" s="4">
        <f t="shared" si="32"/>
        <v>1099600</v>
      </c>
      <c r="L94" s="2">
        <f t="shared" si="31"/>
        <v>1380641.6495846154</v>
      </c>
      <c r="M94" s="2">
        <f t="shared" si="28"/>
        <v>281041.64958461537</v>
      </c>
      <c r="N94" s="16">
        <f t="shared" si="27"/>
        <v>0.25558534884013767</v>
      </c>
      <c r="O94" s="133"/>
      <c r="P94" s="6"/>
      <c r="Q94" s="134"/>
      <c r="R94" s="135"/>
      <c r="AB94" s="172" t="s">
        <v>181</v>
      </c>
      <c r="AC94" s="172" t="str">
        <f t="shared" si="33"/>
        <v>Forsker 7</v>
      </c>
      <c r="AD94" s="13">
        <f t="shared" si="35"/>
        <v>0.4</v>
      </c>
      <c r="AE94" s="172" t="str">
        <f t="shared" si="34"/>
        <v>Tekn./Adm. 7</v>
      </c>
      <c r="AF94" s="113">
        <f t="shared" si="36"/>
        <v>0.4</v>
      </c>
    </row>
    <row r="95" spans="1:32" x14ac:dyDescent="0.25">
      <c r="H95" s="59">
        <v>92</v>
      </c>
      <c r="I95" s="293">
        <v>1123000</v>
      </c>
      <c r="J95" s="3"/>
      <c r="K95" s="4">
        <f t="shared" si="32"/>
        <v>1122600</v>
      </c>
      <c r="L95" s="2">
        <f t="shared" si="31"/>
        <v>1409490.7813538462</v>
      </c>
      <c r="M95" s="2">
        <f t="shared" si="28"/>
        <v>286890.78135384619</v>
      </c>
      <c r="N95" s="16">
        <f t="shared" si="27"/>
        <v>0.25555922087461802</v>
      </c>
      <c r="O95" s="133"/>
      <c r="P95" s="6"/>
      <c r="Q95" s="134"/>
      <c r="R95" s="135"/>
      <c r="AB95" s="172" t="s">
        <v>182</v>
      </c>
      <c r="AC95" s="172" t="str">
        <f t="shared" si="33"/>
        <v>Forsker 7</v>
      </c>
      <c r="AD95" s="13">
        <f t="shared" si="35"/>
        <v>0.4</v>
      </c>
      <c r="AE95" s="172" t="str">
        <f t="shared" si="34"/>
        <v>Tekn./Adm. 7</v>
      </c>
      <c r="AF95" s="113">
        <f t="shared" si="36"/>
        <v>0.4</v>
      </c>
    </row>
    <row r="96" spans="1:32" x14ac:dyDescent="0.25">
      <c r="H96" s="59">
        <v>93</v>
      </c>
      <c r="I96" s="293">
        <v>1146300</v>
      </c>
      <c r="J96" s="3"/>
      <c r="K96" s="4">
        <f t="shared" si="32"/>
        <v>1145900</v>
      </c>
      <c r="L96" s="2">
        <f t="shared" si="31"/>
        <v>1438716.2061461541</v>
      </c>
      <c r="M96" s="2">
        <f t="shared" si="28"/>
        <v>292816.20614615409</v>
      </c>
      <c r="N96" s="16">
        <f t="shared" si="27"/>
        <v>0.25553382157793358</v>
      </c>
      <c r="O96" s="133"/>
      <c r="P96" s="6"/>
      <c r="Q96" s="134"/>
      <c r="R96" s="135"/>
      <c r="AB96" s="172" t="s">
        <v>183</v>
      </c>
      <c r="AC96" s="172" t="str">
        <f t="shared" si="33"/>
        <v>Forsker 7</v>
      </c>
      <c r="AD96" s="13">
        <f t="shared" si="35"/>
        <v>0.4</v>
      </c>
      <c r="AE96" s="172" t="str">
        <f t="shared" si="34"/>
        <v>Tekn./Adm. 7</v>
      </c>
      <c r="AF96" s="113">
        <f t="shared" si="36"/>
        <v>0.4</v>
      </c>
    </row>
    <row r="97" spans="8:32" x14ac:dyDescent="0.25">
      <c r="H97" s="59">
        <v>94</v>
      </c>
      <c r="I97" s="293">
        <v>1169500</v>
      </c>
      <c r="J97" s="3"/>
      <c r="K97" s="4">
        <f t="shared" si="32"/>
        <v>1169100</v>
      </c>
      <c r="L97" s="2">
        <f t="shared" si="31"/>
        <v>1467816.1999307694</v>
      </c>
      <c r="M97" s="2">
        <f t="shared" si="28"/>
        <v>298716.19993076939</v>
      </c>
      <c r="N97" s="16">
        <f t="shared" si="27"/>
        <v>0.25550953719165975</v>
      </c>
      <c r="O97" s="133"/>
      <c r="P97" s="6"/>
      <c r="Q97" s="134"/>
      <c r="R97" s="135"/>
      <c r="AB97" s="172" t="s">
        <v>184</v>
      </c>
      <c r="AC97" s="172" t="str">
        <f t="shared" si="33"/>
        <v>Forsker 7</v>
      </c>
      <c r="AD97" s="13">
        <f t="shared" si="35"/>
        <v>0.4</v>
      </c>
      <c r="AE97" s="172" t="str">
        <f t="shared" si="34"/>
        <v>Tekn./Adm. 7</v>
      </c>
      <c r="AF97" s="113">
        <f t="shared" si="36"/>
        <v>0.4</v>
      </c>
    </row>
    <row r="98" spans="8:32" x14ac:dyDescent="0.25">
      <c r="H98" s="59">
        <v>95</v>
      </c>
      <c r="I98" s="293">
        <v>1192900</v>
      </c>
      <c r="J98" s="3"/>
      <c r="K98" s="4">
        <f t="shared" si="32"/>
        <v>1192500</v>
      </c>
      <c r="L98" s="2">
        <f t="shared" si="31"/>
        <v>1497167.0557307694</v>
      </c>
      <c r="M98" s="2">
        <f t="shared" si="28"/>
        <v>304667.05573076941</v>
      </c>
      <c r="N98" s="16">
        <f t="shared" si="27"/>
        <v>0.25548600061280452</v>
      </c>
      <c r="O98" s="133"/>
      <c r="P98" s="6"/>
      <c r="Q98" s="134"/>
      <c r="R98" s="135"/>
      <c r="AB98" s="172" t="s">
        <v>185</v>
      </c>
      <c r="AC98" s="172" t="str">
        <f t="shared" si="33"/>
        <v>Forsker 7</v>
      </c>
      <c r="AD98" s="13">
        <f t="shared" si="35"/>
        <v>0.4</v>
      </c>
      <c r="AE98" s="172" t="str">
        <f t="shared" si="34"/>
        <v>Tekn./Adm. 7</v>
      </c>
      <c r="AF98" s="113">
        <f t="shared" si="36"/>
        <v>0.4</v>
      </c>
    </row>
    <row r="99" spans="8:32" x14ac:dyDescent="0.25">
      <c r="H99" s="59">
        <v>96</v>
      </c>
      <c r="I99" s="293">
        <v>1215600</v>
      </c>
      <c r="J99" s="3"/>
      <c r="K99" s="4">
        <f t="shared" si="32"/>
        <v>1215200</v>
      </c>
      <c r="L99" s="2">
        <f t="shared" si="31"/>
        <v>1525639.8944769234</v>
      </c>
      <c r="M99" s="2">
        <f t="shared" si="28"/>
        <v>310439.89447692339</v>
      </c>
      <c r="N99" s="16">
        <f t="shared" si="27"/>
        <v>0.25546403429634906</v>
      </c>
      <c r="O99" s="133"/>
      <c r="P99" s="6"/>
      <c r="Q99" s="134"/>
      <c r="R99" s="135"/>
      <c r="AB99" s="172" t="s">
        <v>186</v>
      </c>
      <c r="AC99" s="172" t="str">
        <f t="shared" si="33"/>
        <v>Forsker 7</v>
      </c>
      <c r="AD99" s="13">
        <f t="shared" si="35"/>
        <v>0.4</v>
      </c>
      <c r="AE99" s="172" t="str">
        <f t="shared" si="34"/>
        <v>Tekn./Adm. 7</v>
      </c>
      <c r="AF99" s="113">
        <f t="shared" si="36"/>
        <v>0.4</v>
      </c>
    </row>
    <row r="100" spans="8:32" x14ac:dyDescent="0.25">
      <c r="H100" s="59">
        <v>97</v>
      </c>
      <c r="I100" s="293">
        <v>1238400</v>
      </c>
      <c r="J100" s="3"/>
      <c r="K100" s="4">
        <f t="shared" si="32"/>
        <v>1238000</v>
      </c>
      <c r="L100" s="2">
        <f t="shared" si="31"/>
        <v>1554238.1642307695</v>
      </c>
      <c r="M100" s="2">
        <f t="shared" si="28"/>
        <v>316238.1642307695</v>
      </c>
      <c r="N100" s="16">
        <f t="shared" si="27"/>
        <v>0.2554427820927056</v>
      </c>
      <c r="O100" s="133"/>
      <c r="P100" s="6"/>
      <c r="Q100" s="134"/>
      <c r="R100" s="135"/>
      <c r="AB100" s="172" t="s">
        <v>187</v>
      </c>
      <c r="AC100" s="172" t="str">
        <f t="shared" si="33"/>
        <v>Forsker 7</v>
      </c>
      <c r="AD100" s="13">
        <f t="shared" si="35"/>
        <v>0.4</v>
      </c>
      <c r="AE100" s="172" t="str">
        <f t="shared" si="34"/>
        <v>Tekn./Adm. 7</v>
      </c>
      <c r="AF100" s="113">
        <f t="shared" si="36"/>
        <v>0.4</v>
      </c>
    </row>
    <row r="101" spans="8:32" x14ac:dyDescent="0.25">
      <c r="H101" s="59">
        <v>98</v>
      </c>
      <c r="I101" s="293">
        <v>1261200</v>
      </c>
      <c r="J101" s="3"/>
      <c r="K101" s="4">
        <f t="shared" si="32"/>
        <v>1260800</v>
      </c>
      <c r="L101" s="2">
        <f t="shared" si="31"/>
        <v>1582836.4339846156</v>
      </c>
      <c r="M101" s="2">
        <f t="shared" si="28"/>
        <v>322036.43398461561</v>
      </c>
      <c r="N101" s="16">
        <f t="shared" si="27"/>
        <v>0.25542229852840703</v>
      </c>
      <c r="O101" s="133"/>
      <c r="P101" s="6"/>
      <c r="Q101" s="134"/>
      <c r="R101" s="135"/>
      <c r="AB101" s="172" t="s">
        <v>188</v>
      </c>
      <c r="AC101" s="172" t="str">
        <f t="shared" si="33"/>
        <v>Forsker 7</v>
      </c>
      <c r="AD101" s="13">
        <f t="shared" si="35"/>
        <v>0.4</v>
      </c>
      <c r="AE101" s="172" t="str">
        <f t="shared" si="34"/>
        <v>Tekn./Adm. 7</v>
      </c>
      <c r="AF101" s="113">
        <f t="shared" si="36"/>
        <v>0.4</v>
      </c>
    </row>
    <row r="102" spans="8:32" x14ac:dyDescent="0.25">
      <c r="H102" s="59">
        <v>99</v>
      </c>
      <c r="I102" s="293">
        <v>1283000</v>
      </c>
      <c r="J102" s="3"/>
      <c r="K102" s="4">
        <f t="shared" si="32"/>
        <v>1282600</v>
      </c>
      <c r="L102" s="2">
        <f t="shared" si="31"/>
        <v>1610180.3936615386</v>
      </c>
      <c r="M102" s="2">
        <f t="shared" si="28"/>
        <v>327580.3936615386</v>
      </c>
      <c r="N102" s="16">
        <f t="shared" si="27"/>
        <v>0.25540339440319554</v>
      </c>
      <c r="O102" s="133"/>
      <c r="P102" s="6"/>
      <c r="Q102" s="134"/>
      <c r="R102" s="135"/>
      <c r="AB102" s="172" t="s">
        <v>189</v>
      </c>
      <c r="AC102" s="172" t="str">
        <f t="shared" si="33"/>
        <v>Forsker 7</v>
      </c>
      <c r="AD102" s="13">
        <f t="shared" si="35"/>
        <v>0.4</v>
      </c>
      <c r="AE102" s="172" t="str">
        <f t="shared" si="34"/>
        <v>Tekn./Adm. 7</v>
      </c>
      <c r="AF102" s="113">
        <f t="shared" si="36"/>
        <v>0.4</v>
      </c>
    </row>
    <row r="103" spans="8:32" x14ac:dyDescent="0.25">
      <c r="H103" s="59">
        <v>100</v>
      </c>
      <c r="I103" s="293">
        <v>1304700</v>
      </c>
      <c r="J103" s="3"/>
      <c r="K103" s="4">
        <f t="shared" si="32"/>
        <v>1304300</v>
      </c>
      <c r="L103" s="2">
        <f t="shared" si="31"/>
        <v>1637398.9223307695</v>
      </c>
      <c r="M103" s="2">
        <f t="shared" si="28"/>
        <v>333098.92233076948</v>
      </c>
      <c r="N103" s="16">
        <f t="shared" si="27"/>
        <v>0.25538520457775776</v>
      </c>
      <c r="O103" s="133"/>
      <c r="P103" s="6"/>
      <c r="Q103" s="134"/>
      <c r="R103" s="135"/>
      <c r="AB103" s="172" t="s">
        <v>190</v>
      </c>
      <c r="AC103" s="172" t="str">
        <f t="shared" si="33"/>
        <v>Forsker 7</v>
      </c>
      <c r="AD103" s="13">
        <f t="shared" si="35"/>
        <v>0.4</v>
      </c>
      <c r="AE103" s="172" t="str">
        <f t="shared" si="34"/>
        <v>Tekn./Adm. 7</v>
      </c>
      <c r="AF103" s="113">
        <f t="shared" si="36"/>
        <v>0.4</v>
      </c>
    </row>
    <row r="104" spans="8:32" x14ac:dyDescent="0.25">
      <c r="H104" s="59">
        <v>101</v>
      </c>
      <c r="I104" s="293">
        <v>1326500</v>
      </c>
      <c r="J104" s="3"/>
      <c r="K104" s="4">
        <f t="shared" si="32"/>
        <v>1326100</v>
      </c>
      <c r="L104" s="2">
        <f t="shared" si="31"/>
        <v>1664742.8820076925</v>
      </c>
      <c r="M104" s="2">
        <f t="shared" si="28"/>
        <v>338642.88200769247</v>
      </c>
      <c r="N104" s="16">
        <f t="shared" si="27"/>
        <v>0.25536753035796128</v>
      </c>
      <c r="O104" s="136"/>
      <c r="P104" s="6"/>
      <c r="Q104" s="137"/>
      <c r="R104" s="138"/>
      <c r="AB104" s="172" t="s">
        <v>191</v>
      </c>
      <c r="AC104" s="172" t="str">
        <f t="shared" si="33"/>
        <v>Forsker 7</v>
      </c>
      <c r="AD104" s="13">
        <f t="shared" si="35"/>
        <v>0.4</v>
      </c>
      <c r="AE104" s="172" t="str">
        <f t="shared" si="34"/>
        <v>Tekn./Adm. 7</v>
      </c>
      <c r="AF104" s="113">
        <f t="shared" si="36"/>
        <v>0.4</v>
      </c>
    </row>
    <row r="105" spans="8:32" x14ac:dyDescent="0.25">
      <c r="H105" s="59" t="s">
        <v>177</v>
      </c>
      <c r="I105" s="293">
        <v>309800</v>
      </c>
      <c r="J105" s="3"/>
      <c r="K105" s="4">
        <f t="shared" ref="K105:K150" si="37">I105-400</f>
        <v>309400</v>
      </c>
      <c r="L105" s="2">
        <f t="shared" ref="L105:L136" si="38">((K105*1.12+K105*0.087+1229)*1.141)</f>
        <v>427503.94680000003</v>
      </c>
      <c r="M105" s="2">
        <f t="shared" ref="M105:M133" si="39">L105-K105</f>
        <v>118103.94680000003</v>
      </c>
      <c r="N105" s="16">
        <f t="shared" ref="N105:N132" si="40">M105/K105</f>
        <v>0.38171928506787339</v>
      </c>
      <c r="O105" s="5"/>
      <c r="P105" s="6"/>
      <c r="Q105" s="56"/>
      <c r="AB105" s="172" t="s">
        <v>192</v>
      </c>
      <c r="AC105" s="172" t="str">
        <f t="shared" si="33"/>
        <v>Forsker 7</v>
      </c>
      <c r="AD105" s="13">
        <f t="shared" si="35"/>
        <v>0.4</v>
      </c>
      <c r="AE105" s="172" t="str">
        <f t="shared" si="34"/>
        <v>Tekn./Adm. 7</v>
      </c>
      <c r="AF105" s="113">
        <f t="shared" si="36"/>
        <v>0.4</v>
      </c>
    </row>
    <row r="106" spans="8:32" x14ac:dyDescent="0.25">
      <c r="H106" s="59" t="s">
        <v>178</v>
      </c>
      <c r="I106" s="293">
        <v>313300</v>
      </c>
      <c r="J106" s="3"/>
      <c r="K106" s="4">
        <f t="shared" si="37"/>
        <v>312900</v>
      </c>
      <c r="L106" s="2">
        <f t="shared" si="38"/>
        <v>432324.10130000004</v>
      </c>
      <c r="M106" s="2">
        <f t="shared" si="39"/>
        <v>119424.10130000004</v>
      </c>
      <c r="N106" s="16">
        <f t="shared" si="40"/>
        <v>0.38166858836689049</v>
      </c>
      <c r="O106" s="5"/>
      <c r="P106" s="6"/>
      <c r="Q106" s="56"/>
      <c r="AB106" s="172" t="s">
        <v>193</v>
      </c>
      <c r="AC106" s="172" t="str">
        <f t="shared" si="33"/>
        <v>Forsker 7</v>
      </c>
      <c r="AD106" s="13">
        <f t="shared" si="35"/>
        <v>0.4</v>
      </c>
      <c r="AE106" s="172" t="str">
        <f t="shared" si="34"/>
        <v>Tekn./Adm. 7</v>
      </c>
      <c r="AF106" s="113">
        <f t="shared" si="36"/>
        <v>0.4</v>
      </c>
    </row>
    <row r="107" spans="8:32" x14ac:dyDescent="0.25">
      <c r="H107" s="59" t="s">
        <v>179</v>
      </c>
      <c r="I107" s="293">
        <v>317300</v>
      </c>
      <c r="J107" s="3"/>
      <c r="K107" s="4">
        <f t="shared" si="37"/>
        <v>316900</v>
      </c>
      <c r="L107" s="2">
        <f t="shared" si="38"/>
        <v>437832.84930000006</v>
      </c>
      <c r="M107" s="2">
        <f t="shared" si="39"/>
        <v>120932.84930000006</v>
      </c>
      <c r="N107" s="16">
        <f t="shared" si="40"/>
        <v>0.38161202051120247</v>
      </c>
      <c r="O107" s="5"/>
      <c r="P107" s="6"/>
      <c r="Q107" s="56"/>
      <c r="AB107" s="172" t="s">
        <v>194</v>
      </c>
      <c r="AC107" s="172" t="str">
        <f t="shared" si="33"/>
        <v>Forsker 7</v>
      </c>
      <c r="AD107" s="13">
        <f t="shared" si="35"/>
        <v>0.4</v>
      </c>
      <c r="AE107" s="172" t="str">
        <f t="shared" si="34"/>
        <v>Tekn./Adm. 7</v>
      </c>
      <c r="AF107" s="113">
        <f t="shared" si="36"/>
        <v>0.4</v>
      </c>
    </row>
    <row r="108" spans="8:32" x14ac:dyDescent="0.25">
      <c r="H108" s="59" t="s">
        <v>180</v>
      </c>
      <c r="I108" s="293">
        <v>320900</v>
      </c>
      <c r="J108" s="3"/>
      <c r="K108" s="4">
        <f t="shared" si="37"/>
        <v>320500</v>
      </c>
      <c r="L108" s="2">
        <f t="shared" si="38"/>
        <v>442790.72250000009</v>
      </c>
      <c r="M108" s="2">
        <f t="shared" si="39"/>
        <v>122290.72250000009</v>
      </c>
      <c r="N108" s="16">
        <f t="shared" si="40"/>
        <v>0.38156231669266799</v>
      </c>
      <c r="O108" s="5"/>
      <c r="P108" s="6"/>
      <c r="Q108" s="56"/>
      <c r="AB108" s="172" t="s">
        <v>195</v>
      </c>
      <c r="AC108" s="172" t="str">
        <f t="shared" si="33"/>
        <v>Forsker 7</v>
      </c>
      <c r="AD108" s="13">
        <f t="shared" si="35"/>
        <v>0.4</v>
      </c>
      <c r="AE108" s="172" t="str">
        <f t="shared" si="34"/>
        <v>Tekn./Adm. 7</v>
      </c>
      <c r="AF108" s="113">
        <f t="shared" si="36"/>
        <v>0.4</v>
      </c>
    </row>
    <row r="109" spans="8:32" x14ac:dyDescent="0.25">
      <c r="H109" s="59" t="s">
        <v>181</v>
      </c>
      <c r="I109" s="293">
        <v>324800</v>
      </c>
      <c r="J109" s="3"/>
      <c r="K109" s="4">
        <f t="shared" si="37"/>
        <v>324400</v>
      </c>
      <c r="L109" s="2">
        <f t="shared" si="38"/>
        <v>448161.75180000009</v>
      </c>
      <c r="M109" s="2">
        <f t="shared" si="39"/>
        <v>123761.75180000009</v>
      </c>
      <c r="N109" s="16">
        <f t="shared" si="40"/>
        <v>0.38150971578298426</v>
      </c>
      <c r="O109" s="5"/>
      <c r="P109" s="6"/>
      <c r="Q109" s="56"/>
      <c r="AB109" s="172" t="s">
        <v>196</v>
      </c>
      <c r="AC109" s="172" t="str">
        <f t="shared" si="33"/>
        <v>Forsker 7</v>
      </c>
      <c r="AD109" s="13">
        <f t="shared" si="35"/>
        <v>0.4</v>
      </c>
      <c r="AE109" s="172" t="str">
        <f t="shared" si="34"/>
        <v>Tekn./Adm. 7</v>
      </c>
      <c r="AF109" s="113">
        <f t="shared" si="36"/>
        <v>0.4</v>
      </c>
    </row>
    <row r="110" spans="8:32" x14ac:dyDescent="0.25">
      <c r="H110" s="59" t="s">
        <v>182</v>
      </c>
      <c r="I110" s="293">
        <v>328800</v>
      </c>
      <c r="J110" s="3"/>
      <c r="K110" s="4">
        <f t="shared" si="37"/>
        <v>328400</v>
      </c>
      <c r="L110" s="2">
        <f t="shared" si="38"/>
        <v>453670.49980000005</v>
      </c>
      <c r="M110" s="2">
        <f t="shared" si="39"/>
        <v>125270.49980000005</v>
      </c>
      <c r="N110" s="16">
        <f t="shared" si="40"/>
        <v>0.38145706394640699</v>
      </c>
      <c r="O110" s="5"/>
      <c r="P110" s="6"/>
      <c r="Q110" s="56"/>
      <c r="AB110" s="172" t="s">
        <v>197</v>
      </c>
      <c r="AC110" s="172" t="str">
        <f t="shared" si="33"/>
        <v>Forsker 7</v>
      </c>
      <c r="AD110" s="13">
        <f t="shared" si="35"/>
        <v>0.4</v>
      </c>
      <c r="AE110" s="172" t="str">
        <f t="shared" si="34"/>
        <v>Tekn./Adm. 7</v>
      </c>
      <c r="AF110" s="113">
        <f t="shared" si="36"/>
        <v>0.4</v>
      </c>
    </row>
    <row r="111" spans="8:32" x14ac:dyDescent="0.25">
      <c r="H111" s="59" t="s">
        <v>183</v>
      </c>
      <c r="I111" s="293">
        <v>333000</v>
      </c>
      <c r="J111" s="3"/>
      <c r="K111" s="4">
        <f t="shared" si="37"/>
        <v>332600</v>
      </c>
      <c r="L111" s="2">
        <f t="shared" si="38"/>
        <v>459454.68520000007</v>
      </c>
      <c r="M111" s="2">
        <f t="shared" si="39"/>
        <v>126854.68520000007</v>
      </c>
      <c r="N111" s="16">
        <f t="shared" si="40"/>
        <v>0.38140314251352997</v>
      </c>
      <c r="O111" s="5"/>
      <c r="P111" s="6"/>
      <c r="Q111" s="56"/>
      <c r="AB111" s="172" t="s">
        <v>198</v>
      </c>
      <c r="AC111" s="172" t="str">
        <f t="shared" si="33"/>
        <v>Forsker 7</v>
      </c>
      <c r="AD111" s="13">
        <f t="shared" si="35"/>
        <v>0.4</v>
      </c>
      <c r="AE111" s="172" t="str">
        <f t="shared" si="34"/>
        <v>Tekn./Adm. 7</v>
      </c>
      <c r="AF111" s="113">
        <f t="shared" si="36"/>
        <v>0.4</v>
      </c>
    </row>
    <row r="112" spans="8:32" x14ac:dyDescent="0.25">
      <c r="H112" s="59" t="s">
        <v>184</v>
      </c>
      <c r="I112" s="293">
        <v>337300</v>
      </c>
      <c r="J112" s="3"/>
      <c r="K112" s="4">
        <f t="shared" si="37"/>
        <v>336900</v>
      </c>
      <c r="L112" s="2">
        <f t="shared" si="38"/>
        <v>465376.58930000005</v>
      </c>
      <c r="M112" s="2">
        <f t="shared" si="39"/>
        <v>128476.58930000005</v>
      </c>
      <c r="N112" s="16">
        <f t="shared" si="40"/>
        <v>0.38134933006826965</v>
      </c>
      <c r="O112" s="5"/>
      <c r="P112" s="6"/>
      <c r="Q112" s="56"/>
      <c r="AB112" s="172" t="s">
        <v>199</v>
      </c>
      <c r="AC112" s="172" t="str">
        <f t="shared" si="33"/>
        <v>Forsker 7</v>
      </c>
      <c r="AD112" s="13">
        <f t="shared" si="35"/>
        <v>0.4</v>
      </c>
      <c r="AE112" s="172" t="str">
        <f t="shared" si="34"/>
        <v>Tekn./Adm. 7</v>
      </c>
      <c r="AF112" s="113">
        <f t="shared" si="36"/>
        <v>0.4</v>
      </c>
    </row>
    <row r="113" spans="8:32" x14ac:dyDescent="0.25">
      <c r="H113" s="59" t="s">
        <v>185</v>
      </c>
      <c r="I113" s="293">
        <v>341300</v>
      </c>
      <c r="J113" s="3"/>
      <c r="K113" s="4">
        <f t="shared" si="37"/>
        <v>340900</v>
      </c>
      <c r="L113" s="2">
        <f t="shared" si="38"/>
        <v>470885.33730000007</v>
      </c>
      <c r="M113" s="2">
        <f t="shared" si="39"/>
        <v>129985.33730000007</v>
      </c>
      <c r="N113" s="16">
        <f t="shared" si="40"/>
        <v>0.38130049075975381</v>
      </c>
      <c r="O113" s="5"/>
      <c r="P113" s="6"/>
      <c r="Q113" s="56"/>
      <c r="AB113" s="172" t="s">
        <v>200</v>
      </c>
      <c r="AC113" s="172" t="str">
        <f t="shared" si="33"/>
        <v>Forsker 7</v>
      </c>
      <c r="AD113" s="13">
        <f t="shared" si="35"/>
        <v>0.4</v>
      </c>
      <c r="AE113" s="172" t="str">
        <f t="shared" si="34"/>
        <v>Tekn./Adm. 7</v>
      </c>
      <c r="AF113" s="113">
        <f t="shared" si="36"/>
        <v>0.4</v>
      </c>
    </row>
    <row r="114" spans="8:32" x14ac:dyDescent="0.25">
      <c r="H114" s="59" t="s">
        <v>186</v>
      </c>
      <c r="I114" s="293">
        <v>345300</v>
      </c>
      <c r="J114" s="3"/>
      <c r="K114" s="4">
        <f t="shared" si="37"/>
        <v>344900</v>
      </c>
      <c r="L114" s="2">
        <f t="shared" si="38"/>
        <v>476394.08530000004</v>
      </c>
      <c r="M114" s="2">
        <f t="shared" si="39"/>
        <v>131494.08530000004</v>
      </c>
      <c r="N114" s="16">
        <f t="shared" si="40"/>
        <v>0.38125278428530018</v>
      </c>
      <c r="O114" s="5"/>
      <c r="P114" s="6"/>
      <c r="Q114" s="56"/>
      <c r="AB114" s="172" t="s">
        <v>201</v>
      </c>
      <c r="AC114" s="172" t="str">
        <f t="shared" si="33"/>
        <v>Forsker 7</v>
      </c>
      <c r="AD114" s="13">
        <f t="shared" si="35"/>
        <v>0.4</v>
      </c>
      <c r="AE114" s="172" t="str">
        <f t="shared" si="34"/>
        <v>Tekn./Adm. 7</v>
      </c>
      <c r="AF114" s="113">
        <f t="shared" si="36"/>
        <v>0.4</v>
      </c>
    </row>
    <row r="115" spans="8:32" x14ac:dyDescent="0.25">
      <c r="H115" s="59" t="s">
        <v>187</v>
      </c>
      <c r="I115" s="293">
        <v>349100</v>
      </c>
      <c r="J115" s="3"/>
      <c r="K115" s="4">
        <f t="shared" si="37"/>
        <v>348700</v>
      </c>
      <c r="L115" s="2">
        <f t="shared" si="38"/>
        <v>481627.39590000012</v>
      </c>
      <c r="M115" s="2">
        <f t="shared" si="39"/>
        <v>132927.39590000012</v>
      </c>
      <c r="N115" s="16">
        <f t="shared" si="40"/>
        <v>0.3812084769142533</v>
      </c>
      <c r="O115" s="5"/>
      <c r="P115" s="6"/>
      <c r="Q115" s="56"/>
      <c r="AB115" s="172" t="s">
        <v>202</v>
      </c>
      <c r="AC115" s="172" t="str">
        <f t="shared" si="33"/>
        <v>Forsker 7</v>
      </c>
      <c r="AD115" s="13">
        <f t="shared" si="35"/>
        <v>0.4</v>
      </c>
      <c r="AE115" s="172" t="str">
        <f t="shared" si="34"/>
        <v>Tekn./Adm. 7</v>
      </c>
      <c r="AF115" s="113">
        <f t="shared" si="36"/>
        <v>0.4</v>
      </c>
    </row>
    <row r="116" spans="8:32" x14ac:dyDescent="0.25">
      <c r="H116" s="59" t="s">
        <v>188</v>
      </c>
      <c r="I116" s="293">
        <v>353100</v>
      </c>
      <c r="J116" s="3"/>
      <c r="K116" s="4">
        <f t="shared" si="37"/>
        <v>352700</v>
      </c>
      <c r="L116" s="2">
        <f t="shared" si="38"/>
        <v>487136.14390000008</v>
      </c>
      <c r="M116" s="2">
        <f t="shared" si="39"/>
        <v>134436.14390000008</v>
      </c>
      <c r="N116" s="16">
        <f t="shared" si="40"/>
        <v>0.38116286901049073</v>
      </c>
      <c r="O116" s="5"/>
      <c r="P116" s="6"/>
      <c r="Q116" s="56"/>
      <c r="AB116" s="172" t="s">
        <v>203</v>
      </c>
      <c r="AC116" s="172" t="str">
        <f t="shared" si="33"/>
        <v>Forsker 7</v>
      </c>
      <c r="AD116" s="13">
        <f t="shared" si="35"/>
        <v>0.4</v>
      </c>
      <c r="AE116" s="172" t="str">
        <f t="shared" si="34"/>
        <v>Tekn./Adm. 7</v>
      </c>
      <c r="AF116" s="113">
        <f t="shared" si="36"/>
        <v>0.4</v>
      </c>
    </row>
    <row r="117" spans="8:32" x14ac:dyDescent="0.25">
      <c r="H117" s="59" t="s">
        <v>189</v>
      </c>
      <c r="I117" s="293">
        <v>356700</v>
      </c>
      <c r="J117" s="3"/>
      <c r="K117" s="4">
        <f t="shared" si="37"/>
        <v>356300</v>
      </c>
      <c r="L117" s="2">
        <f t="shared" si="38"/>
        <v>492094.01710000006</v>
      </c>
      <c r="M117" s="2">
        <f t="shared" si="39"/>
        <v>135794.01710000006</v>
      </c>
      <c r="N117" s="16">
        <f t="shared" si="40"/>
        <v>0.38112269744597266</v>
      </c>
      <c r="O117" s="5"/>
      <c r="P117" s="6"/>
      <c r="Q117" s="56"/>
      <c r="AB117" s="172" t="s">
        <v>204</v>
      </c>
      <c r="AC117" s="172" t="str">
        <f t="shared" si="33"/>
        <v>Forsker 7</v>
      </c>
      <c r="AD117" s="13">
        <f t="shared" si="35"/>
        <v>0.4</v>
      </c>
      <c r="AE117" s="172" t="str">
        <f t="shared" si="34"/>
        <v>Tekn./Adm. 7</v>
      </c>
      <c r="AF117" s="113">
        <f t="shared" si="36"/>
        <v>0.4</v>
      </c>
    </row>
    <row r="118" spans="8:32" x14ac:dyDescent="0.25">
      <c r="H118" s="59" t="s">
        <v>190</v>
      </c>
      <c r="I118" s="293">
        <v>360900</v>
      </c>
      <c r="J118" s="3"/>
      <c r="K118" s="4">
        <f t="shared" si="37"/>
        <v>360500</v>
      </c>
      <c r="L118" s="2">
        <f t="shared" si="38"/>
        <v>497878.20250000007</v>
      </c>
      <c r="M118" s="2">
        <f t="shared" si="39"/>
        <v>137378.20250000007</v>
      </c>
      <c r="N118" s="16">
        <f t="shared" si="40"/>
        <v>0.38107684466019437</v>
      </c>
      <c r="O118" s="5"/>
      <c r="P118" s="6"/>
      <c r="Q118" s="56"/>
      <c r="AB118" s="172" t="s">
        <v>205</v>
      </c>
      <c r="AC118" s="172" t="str">
        <f t="shared" si="33"/>
        <v>Forsker 7</v>
      </c>
      <c r="AD118" s="13">
        <f t="shared" si="35"/>
        <v>0.4</v>
      </c>
      <c r="AE118" s="172" t="str">
        <f t="shared" si="34"/>
        <v>Tekn./Adm. 7</v>
      </c>
      <c r="AF118" s="113">
        <f t="shared" si="36"/>
        <v>0.4</v>
      </c>
    </row>
    <row r="119" spans="8:32" x14ac:dyDescent="0.25">
      <c r="H119" s="59" t="s">
        <v>191</v>
      </c>
      <c r="I119" s="293">
        <v>364800</v>
      </c>
      <c r="J119" s="3"/>
      <c r="K119" s="4">
        <f t="shared" si="37"/>
        <v>364400</v>
      </c>
      <c r="L119" s="2">
        <f t="shared" si="38"/>
        <v>503249.23180000007</v>
      </c>
      <c r="M119" s="2">
        <f t="shared" si="39"/>
        <v>138849.23180000007</v>
      </c>
      <c r="N119" s="16">
        <f t="shared" si="40"/>
        <v>0.38103521350164671</v>
      </c>
      <c r="O119" s="5"/>
      <c r="P119" s="6"/>
      <c r="Q119" s="56"/>
      <c r="AB119" s="172" t="s">
        <v>206</v>
      </c>
      <c r="AC119" s="172" t="str">
        <f t="shared" si="33"/>
        <v>Forsker 7</v>
      </c>
      <c r="AD119" s="13">
        <f t="shared" si="35"/>
        <v>0.4</v>
      </c>
      <c r="AE119" s="172" t="str">
        <f t="shared" si="34"/>
        <v>Tekn./Adm. 7</v>
      </c>
      <c r="AF119" s="113">
        <f t="shared" si="36"/>
        <v>0.4</v>
      </c>
    </row>
    <row r="120" spans="8:32" x14ac:dyDescent="0.25">
      <c r="H120" s="59" t="s">
        <v>192</v>
      </c>
      <c r="I120" s="293">
        <v>369000</v>
      </c>
      <c r="J120" s="3"/>
      <c r="K120" s="4">
        <f t="shared" si="37"/>
        <v>368600</v>
      </c>
      <c r="L120" s="2">
        <f t="shared" si="38"/>
        <v>509033.41720000008</v>
      </c>
      <c r="M120" s="2">
        <f t="shared" si="39"/>
        <v>140433.41720000008</v>
      </c>
      <c r="N120" s="16">
        <f t="shared" si="40"/>
        <v>0.38099136516549126</v>
      </c>
      <c r="O120" s="5"/>
      <c r="P120" s="6"/>
      <c r="Q120" s="56"/>
      <c r="AB120" s="172" t="s">
        <v>207</v>
      </c>
      <c r="AC120" s="172" t="str">
        <f t="shared" si="33"/>
        <v>Forsker 7</v>
      </c>
      <c r="AD120" s="13">
        <f t="shared" si="35"/>
        <v>0.4</v>
      </c>
      <c r="AE120" s="172" t="str">
        <f t="shared" si="34"/>
        <v>Tekn./Adm. 7</v>
      </c>
      <c r="AF120" s="113">
        <f t="shared" si="36"/>
        <v>0.4</v>
      </c>
    </row>
    <row r="121" spans="8:32" x14ac:dyDescent="0.25">
      <c r="H121" s="59" t="s">
        <v>193</v>
      </c>
      <c r="I121" s="293">
        <v>373200</v>
      </c>
      <c r="J121" s="3"/>
      <c r="K121" s="4">
        <f t="shared" si="37"/>
        <v>372800</v>
      </c>
      <c r="L121" s="2">
        <f t="shared" si="38"/>
        <v>514817.60260000004</v>
      </c>
      <c r="M121" s="2">
        <f t="shared" si="39"/>
        <v>142017.60260000004</v>
      </c>
      <c r="N121" s="16">
        <f t="shared" si="40"/>
        <v>0.38094850482832632</v>
      </c>
      <c r="O121" s="5"/>
      <c r="P121" s="6"/>
      <c r="Q121" s="56"/>
      <c r="AB121" s="172" t="s">
        <v>208</v>
      </c>
      <c r="AC121" s="172" t="str">
        <f t="shared" si="33"/>
        <v>Forsker 7</v>
      </c>
      <c r="AD121" s="13">
        <f t="shared" si="35"/>
        <v>0.4</v>
      </c>
      <c r="AE121" s="172" t="str">
        <f t="shared" si="34"/>
        <v>Tekn./Adm. 7</v>
      </c>
      <c r="AF121" s="113">
        <f t="shared" si="36"/>
        <v>0.4</v>
      </c>
    </row>
    <row r="122" spans="8:32" x14ac:dyDescent="0.25">
      <c r="H122" s="59" t="s">
        <v>194</v>
      </c>
      <c r="I122" s="293">
        <v>377500</v>
      </c>
      <c r="J122" s="3"/>
      <c r="K122" s="4">
        <f t="shared" si="37"/>
        <v>377100</v>
      </c>
      <c r="L122" s="2">
        <f t="shared" si="38"/>
        <v>520739.50670000009</v>
      </c>
      <c r="M122" s="2">
        <f t="shared" si="39"/>
        <v>143639.50670000009</v>
      </c>
      <c r="N122" s="16">
        <f t="shared" si="40"/>
        <v>0.38090561309997373</v>
      </c>
      <c r="O122" s="5"/>
      <c r="P122" s="6"/>
      <c r="Q122" s="56"/>
      <c r="AB122" s="172" t="s">
        <v>209</v>
      </c>
      <c r="AC122" s="172" t="str">
        <f t="shared" si="33"/>
        <v>Forsker 6</v>
      </c>
      <c r="AD122" s="13">
        <f t="shared" si="35"/>
        <v>0.4</v>
      </c>
      <c r="AE122" s="172" t="str">
        <f t="shared" si="34"/>
        <v>Tekn./Adm. 6</v>
      </c>
      <c r="AF122" s="113">
        <f t="shared" si="36"/>
        <v>0.4</v>
      </c>
    </row>
    <row r="123" spans="8:32" x14ac:dyDescent="0.25">
      <c r="H123" s="59" t="s">
        <v>195</v>
      </c>
      <c r="I123" s="293">
        <v>382300</v>
      </c>
      <c r="J123" s="3"/>
      <c r="K123" s="4">
        <f t="shared" si="37"/>
        <v>381900</v>
      </c>
      <c r="L123" s="2">
        <f t="shared" si="38"/>
        <v>527350.00430000003</v>
      </c>
      <c r="M123" s="2">
        <f t="shared" si="39"/>
        <v>145450.00430000003</v>
      </c>
      <c r="N123" s="16">
        <f t="shared" si="40"/>
        <v>0.38085887483634467</v>
      </c>
      <c r="O123" s="5"/>
      <c r="P123" s="6"/>
      <c r="Q123" s="56"/>
      <c r="AB123" s="172" t="s">
        <v>210</v>
      </c>
      <c r="AC123" s="172" t="str">
        <f t="shared" si="33"/>
        <v>Forsker 6</v>
      </c>
      <c r="AD123" s="13">
        <f t="shared" si="35"/>
        <v>0.4</v>
      </c>
      <c r="AE123" s="172" t="str">
        <f t="shared" si="34"/>
        <v>Tekn./Adm. 6</v>
      </c>
      <c r="AF123" s="113">
        <f t="shared" si="36"/>
        <v>0.4</v>
      </c>
    </row>
    <row r="124" spans="8:32" x14ac:dyDescent="0.25">
      <c r="H124" s="59" t="s">
        <v>196</v>
      </c>
      <c r="I124" s="293">
        <v>387100</v>
      </c>
      <c r="J124" s="3"/>
      <c r="K124" s="4">
        <f t="shared" si="37"/>
        <v>386700</v>
      </c>
      <c r="L124" s="2">
        <f t="shared" si="38"/>
        <v>533960.50190000003</v>
      </c>
      <c r="M124" s="2">
        <f t="shared" si="39"/>
        <v>147260.50190000003</v>
      </c>
      <c r="N124" s="16">
        <f t="shared" si="40"/>
        <v>0.38081329687095949</v>
      </c>
      <c r="O124" s="5"/>
      <c r="P124" s="6"/>
      <c r="Q124" s="56"/>
      <c r="AB124" s="172" t="s">
        <v>211</v>
      </c>
      <c r="AC124" s="172" t="str">
        <f t="shared" si="33"/>
        <v>Forsker 6</v>
      </c>
      <c r="AD124" s="13">
        <f t="shared" si="35"/>
        <v>0.4</v>
      </c>
      <c r="AE124" s="172" t="str">
        <f t="shared" si="34"/>
        <v>Tekn./Adm. 6</v>
      </c>
      <c r="AF124" s="113">
        <f t="shared" si="36"/>
        <v>0.4</v>
      </c>
    </row>
    <row r="125" spans="8:32" x14ac:dyDescent="0.25">
      <c r="H125" s="59" t="s">
        <v>197</v>
      </c>
      <c r="I125" s="293">
        <v>391800</v>
      </c>
      <c r="J125" s="3"/>
      <c r="K125" s="4">
        <f t="shared" si="37"/>
        <v>391400</v>
      </c>
      <c r="L125" s="2">
        <f t="shared" si="38"/>
        <v>540433.28080000007</v>
      </c>
      <c r="M125" s="2">
        <f t="shared" si="39"/>
        <v>149033.28080000007</v>
      </c>
      <c r="N125" s="16">
        <f t="shared" si="40"/>
        <v>0.38076975166070531</v>
      </c>
      <c r="O125" s="5"/>
      <c r="P125" s="6"/>
      <c r="Q125" s="56"/>
      <c r="AB125" s="172" t="s">
        <v>212</v>
      </c>
      <c r="AC125" s="172" t="str">
        <f t="shared" si="33"/>
        <v>Forsker 6</v>
      </c>
      <c r="AD125" s="13">
        <f t="shared" si="35"/>
        <v>0.4</v>
      </c>
      <c r="AE125" s="172" t="str">
        <f t="shared" si="34"/>
        <v>Tekn./Adm. 6</v>
      </c>
      <c r="AF125" s="113">
        <f t="shared" si="36"/>
        <v>0.4</v>
      </c>
    </row>
    <row r="126" spans="8:32" x14ac:dyDescent="0.25">
      <c r="H126" s="59" t="s">
        <v>198</v>
      </c>
      <c r="I126" s="293">
        <v>396900</v>
      </c>
      <c r="J126" s="3"/>
      <c r="K126" s="4">
        <f t="shared" si="37"/>
        <v>396500</v>
      </c>
      <c r="L126" s="2">
        <f t="shared" si="38"/>
        <v>547456.93450000009</v>
      </c>
      <c r="M126" s="2">
        <f t="shared" si="39"/>
        <v>150956.93450000009</v>
      </c>
      <c r="N126" s="16">
        <f t="shared" si="40"/>
        <v>0.38072366834804561</v>
      </c>
      <c r="O126" s="5"/>
      <c r="P126" s="6"/>
      <c r="Q126" s="56"/>
      <c r="AB126" s="172" t="s">
        <v>213</v>
      </c>
      <c r="AC126" s="172" t="str">
        <f t="shared" si="33"/>
        <v>Forsker 6</v>
      </c>
      <c r="AD126" s="13">
        <f t="shared" si="35"/>
        <v>0.4</v>
      </c>
      <c r="AE126" s="172" t="str">
        <f t="shared" si="34"/>
        <v>Tekn./Adm. 6</v>
      </c>
      <c r="AF126" s="113">
        <f t="shared" si="36"/>
        <v>0.4</v>
      </c>
    </row>
    <row r="127" spans="8:32" x14ac:dyDescent="0.25">
      <c r="H127" s="59" t="s">
        <v>199</v>
      </c>
      <c r="I127" s="293">
        <v>402000</v>
      </c>
      <c r="J127" s="3"/>
      <c r="K127" s="4">
        <f t="shared" si="37"/>
        <v>401600</v>
      </c>
      <c r="L127" s="2">
        <f t="shared" si="38"/>
        <v>554480.58820000011</v>
      </c>
      <c r="M127" s="2">
        <f t="shared" si="39"/>
        <v>152880.58820000011</v>
      </c>
      <c r="N127" s="16">
        <f t="shared" si="40"/>
        <v>0.38067875547808794</v>
      </c>
      <c r="O127" s="5"/>
      <c r="P127" s="6"/>
      <c r="Q127" s="56"/>
      <c r="AB127" s="172" t="s">
        <v>214</v>
      </c>
      <c r="AC127" s="172" t="str">
        <f t="shared" si="33"/>
        <v>Forsker 6</v>
      </c>
      <c r="AD127" s="13">
        <f t="shared" si="35"/>
        <v>0.4</v>
      </c>
      <c r="AE127" s="172" t="str">
        <f t="shared" si="34"/>
        <v>Tekn./Adm. 6</v>
      </c>
      <c r="AF127" s="113">
        <f t="shared" si="36"/>
        <v>0.4</v>
      </c>
    </row>
    <row r="128" spans="8:32" x14ac:dyDescent="0.25">
      <c r="H128" s="59" t="s">
        <v>200</v>
      </c>
      <c r="I128" s="293">
        <v>407900</v>
      </c>
      <c r="J128" s="3"/>
      <c r="K128" s="4">
        <f t="shared" si="37"/>
        <v>407500</v>
      </c>
      <c r="L128" s="2">
        <f t="shared" si="38"/>
        <v>562605.99150000012</v>
      </c>
      <c r="M128" s="2">
        <f t="shared" si="39"/>
        <v>155105.99150000012</v>
      </c>
      <c r="N128" s="16">
        <f t="shared" si="40"/>
        <v>0.38062820000000031</v>
      </c>
      <c r="O128" s="5"/>
      <c r="P128" s="6"/>
      <c r="Q128" s="56"/>
      <c r="AB128" s="172" t="s">
        <v>215</v>
      </c>
      <c r="AC128" s="172" t="str">
        <f t="shared" si="33"/>
        <v>Forsker 6</v>
      </c>
      <c r="AD128" s="13">
        <f t="shared" si="35"/>
        <v>0.4</v>
      </c>
      <c r="AE128" s="172" t="str">
        <f t="shared" si="34"/>
        <v>Tekn./Adm. 6</v>
      </c>
      <c r="AF128" s="113">
        <f t="shared" si="36"/>
        <v>0.4</v>
      </c>
    </row>
    <row r="129" spans="8:32" x14ac:dyDescent="0.25">
      <c r="H129" s="59" t="s">
        <v>201</v>
      </c>
      <c r="I129" s="293">
        <v>413500</v>
      </c>
      <c r="J129" s="3"/>
      <c r="K129" s="4">
        <f t="shared" si="37"/>
        <v>413100</v>
      </c>
      <c r="L129" s="2">
        <f t="shared" si="38"/>
        <v>570318.2387000001</v>
      </c>
      <c r="M129" s="2">
        <f t="shared" si="39"/>
        <v>157218.2387000001</v>
      </c>
      <c r="N129" s="16">
        <f t="shared" si="40"/>
        <v>0.38058155095618518</v>
      </c>
      <c r="O129" s="5"/>
      <c r="P129" s="6"/>
      <c r="Q129" s="56"/>
      <c r="AB129" s="172" t="s">
        <v>216</v>
      </c>
      <c r="AC129" s="172" t="str">
        <f t="shared" si="33"/>
        <v>Forsker 6</v>
      </c>
      <c r="AD129" s="13">
        <f t="shared" si="35"/>
        <v>0.4</v>
      </c>
      <c r="AE129" s="172" t="str">
        <f t="shared" si="34"/>
        <v>Tekn./Adm. 6</v>
      </c>
      <c r="AF129" s="113">
        <f t="shared" si="36"/>
        <v>0.4</v>
      </c>
    </row>
    <row r="130" spans="8:32" x14ac:dyDescent="0.25">
      <c r="H130" s="59" t="s">
        <v>202</v>
      </c>
      <c r="I130" s="293">
        <v>419600</v>
      </c>
      <c r="J130" s="3"/>
      <c r="K130" s="4">
        <f t="shared" si="37"/>
        <v>419200</v>
      </c>
      <c r="L130" s="2">
        <f t="shared" si="38"/>
        <v>578719.07940000005</v>
      </c>
      <c r="M130" s="2">
        <f t="shared" si="39"/>
        <v>159519.07940000005</v>
      </c>
      <c r="N130" s="16">
        <f t="shared" si="40"/>
        <v>0.38053215505725202</v>
      </c>
      <c r="O130" s="5"/>
      <c r="P130" s="6"/>
      <c r="Q130" s="56"/>
      <c r="AB130" s="172" t="s">
        <v>217</v>
      </c>
      <c r="AC130" s="172" t="str">
        <f t="shared" si="33"/>
        <v>Forsker 6</v>
      </c>
      <c r="AD130" s="13">
        <f t="shared" si="35"/>
        <v>0.4</v>
      </c>
      <c r="AE130" s="172" t="str">
        <f t="shared" si="34"/>
        <v>Tekn./Adm. 6</v>
      </c>
      <c r="AF130" s="113">
        <f t="shared" si="36"/>
        <v>0.4</v>
      </c>
    </row>
    <row r="131" spans="8:32" x14ac:dyDescent="0.25">
      <c r="H131" s="59" t="s">
        <v>203</v>
      </c>
      <c r="I131" s="293">
        <v>425600</v>
      </c>
      <c r="J131" s="3"/>
      <c r="K131" s="4">
        <f t="shared" si="37"/>
        <v>425200</v>
      </c>
      <c r="L131" s="2">
        <f t="shared" si="38"/>
        <v>586982.20140000002</v>
      </c>
      <c r="M131" s="2">
        <f t="shared" si="39"/>
        <v>161782.20140000002</v>
      </c>
      <c r="N131" s="16">
        <f t="shared" si="40"/>
        <v>0.38048495155221079</v>
      </c>
      <c r="O131" s="5"/>
      <c r="P131" s="6"/>
      <c r="Q131" s="56"/>
      <c r="AB131" s="172" t="s">
        <v>218</v>
      </c>
      <c r="AC131" s="172" t="str">
        <f t="shared" si="33"/>
        <v>Forsker 5</v>
      </c>
      <c r="AD131" s="13">
        <f t="shared" si="35"/>
        <v>0.4</v>
      </c>
      <c r="AE131" s="172" t="str">
        <f t="shared" si="34"/>
        <v>Tekn./Adm. 5</v>
      </c>
      <c r="AF131" s="113">
        <f t="shared" si="36"/>
        <v>0.4</v>
      </c>
    </row>
    <row r="132" spans="8:32" x14ac:dyDescent="0.25">
      <c r="H132" s="59" t="s">
        <v>204</v>
      </c>
      <c r="I132" s="293">
        <v>431900</v>
      </c>
      <c r="J132" s="3"/>
      <c r="K132" s="4">
        <f t="shared" si="37"/>
        <v>431500</v>
      </c>
      <c r="L132" s="2">
        <f t="shared" si="38"/>
        <v>595658.47950000002</v>
      </c>
      <c r="M132" s="2">
        <f t="shared" si="39"/>
        <v>164158.47950000002</v>
      </c>
      <c r="N132" s="16">
        <f t="shared" si="40"/>
        <v>0.38043680069524916</v>
      </c>
      <c r="O132" s="5"/>
      <c r="P132" s="6"/>
      <c r="Q132" s="56"/>
      <c r="AB132" s="172" t="s">
        <v>219</v>
      </c>
      <c r="AC132" s="172" t="str">
        <f t="shared" si="33"/>
        <v>Forsker 5</v>
      </c>
      <c r="AD132" s="13">
        <f t="shared" si="35"/>
        <v>0.4</v>
      </c>
      <c r="AE132" s="172" t="str">
        <f t="shared" si="34"/>
        <v>Tekn./Adm. 5</v>
      </c>
      <c r="AF132" s="113">
        <f t="shared" si="36"/>
        <v>0.4</v>
      </c>
    </row>
    <row r="133" spans="8:32" x14ac:dyDescent="0.25">
      <c r="H133" s="59" t="s">
        <v>205</v>
      </c>
      <c r="I133" s="293">
        <v>439900</v>
      </c>
      <c r="J133" s="3"/>
      <c r="K133" s="4">
        <f t="shared" si="37"/>
        <v>439500</v>
      </c>
      <c r="L133" s="2">
        <f t="shared" si="38"/>
        <v>606675.97550000006</v>
      </c>
      <c r="M133" s="2">
        <f t="shared" si="39"/>
        <v>167175.97550000006</v>
      </c>
      <c r="N133" s="16">
        <f t="shared" ref="N133:N187" si="41">M133/K133</f>
        <v>0.38037764618885112</v>
      </c>
      <c r="O133" s="5"/>
      <c r="P133" s="6"/>
      <c r="Q133" s="56"/>
      <c r="AB133" s="172" t="s">
        <v>220</v>
      </c>
      <c r="AC133" s="172" t="str">
        <f t="shared" si="33"/>
        <v>Forsker 5</v>
      </c>
      <c r="AD133" s="13">
        <f t="shared" si="35"/>
        <v>0.4</v>
      </c>
      <c r="AE133" s="172" t="str">
        <f t="shared" si="34"/>
        <v>Tekn./Adm. 5</v>
      </c>
      <c r="AF133" s="113">
        <f t="shared" si="36"/>
        <v>0.4</v>
      </c>
    </row>
    <row r="134" spans="8:32" x14ac:dyDescent="0.25">
      <c r="H134" s="59" t="s">
        <v>206</v>
      </c>
      <c r="I134" s="293">
        <v>446800</v>
      </c>
      <c r="J134" s="3"/>
      <c r="K134" s="4">
        <f t="shared" si="37"/>
        <v>446400</v>
      </c>
      <c r="L134" s="2">
        <f t="shared" si="38"/>
        <v>616178.5658000001</v>
      </c>
      <c r="M134" s="2">
        <f t="shared" ref="M134:M187" si="42">L134-K134</f>
        <v>169778.5658000001</v>
      </c>
      <c r="N134" s="16">
        <f t="shared" si="41"/>
        <v>0.38032832840501812</v>
      </c>
      <c r="O134" s="5"/>
      <c r="P134" s="6"/>
      <c r="Q134" s="56"/>
      <c r="AB134" s="172" t="s">
        <v>221</v>
      </c>
      <c r="AC134" s="172" t="str">
        <f t="shared" si="33"/>
        <v>Forsker 5</v>
      </c>
      <c r="AD134" s="13">
        <f t="shared" si="35"/>
        <v>0.4</v>
      </c>
      <c r="AE134" s="172" t="str">
        <f t="shared" si="34"/>
        <v>Tekn./Adm. 5</v>
      </c>
      <c r="AF134" s="113">
        <f t="shared" si="36"/>
        <v>0.4</v>
      </c>
    </row>
    <row r="135" spans="8:32" x14ac:dyDescent="0.25">
      <c r="H135" s="59" t="s">
        <v>207</v>
      </c>
      <c r="I135" s="293">
        <v>454200</v>
      </c>
      <c r="J135" s="3"/>
      <c r="K135" s="4">
        <f t="shared" si="37"/>
        <v>453800</v>
      </c>
      <c r="L135" s="2">
        <f t="shared" si="38"/>
        <v>626369.7496000001</v>
      </c>
      <c r="M135" s="2">
        <f t="shared" si="42"/>
        <v>172569.7496000001</v>
      </c>
      <c r="N135" s="16">
        <f t="shared" si="41"/>
        <v>0.38027710356985478</v>
      </c>
      <c r="O135" s="5"/>
      <c r="P135" s="6"/>
      <c r="Q135" s="56"/>
      <c r="AB135" s="172" t="s">
        <v>222</v>
      </c>
      <c r="AC135" s="172" t="str">
        <f t="shared" si="33"/>
        <v>Forsker 5</v>
      </c>
      <c r="AD135" s="13">
        <f t="shared" si="35"/>
        <v>0.4</v>
      </c>
      <c r="AE135" s="172" t="str">
        <f t="shared" si="34"/>
        <v>Tekn./Adm. 5</v>
      </c>
      <c r="AF135" s="113">
        <f t="shared" si="36"/>
        <v>0.4</v>
      </c>
    </row>
    <row r="136" spans="8:32" x14ac:dyDescent="0.25">
      <c r="H136" s="59" t="s">
        <v>208</v>
      </c>
      <c r="I136" s="293">
        <v>461300</v>
      </c>
      <c r="J136" s="3"/>
      <c r="K136" s="4">
        <f t="shared" si="37"/>
        <v>460900</v>
      </c>
      <c r="L136" s="2">
        <f t="shared" si="38"/>
        <v>636147.77730000007</v>
      </c>
      <c r="M136" s="2">
        <f t="shared" si="42"/>
        <v>175247.77730000007</v>
      </c>
      <c r="N136" s="16">
        <f t="shared" si="41"/>
        <v>0.38022950162725117</v>
      </c>
      <c r="O136" s="5"/>
      <c r="P136" s="6"/>
      <c r="Q136" s="56"/>
      <c r="AB136" s="172" t="s">
        <v>223</v>
      </c>
      <c r="AC136" s="172" t="str">
        <f t="shared" si="33"/>
        <v>Forsker 5</v>
      </c>
      <c r="AD136" s="13">
        <f t="shared" si="35"/>
        <v>0.4</v>
      </c>
      <c r="AE136" s="172" t="str">
        <f t="shared" si="34"/>
        <v>Tekn./Adm. 5</v>
      </c>
      <c r="AF136" s="113">
        <f t="shared" si="36"/>
        <v>0.4</v>
      </c>
    </row>
    <row r="137" spans="8:32" x14ac:dyDescent="0.25">
      <c r="H137" s="59" t="s">
        <v>209</v>
      </c>
      <c r="I137" s="293">
        <v>468300</v>
      </c>
      <c r="J137" s="3"/>
      <c r="K137" s="4">
        <f t="shared" si="37"/>
        <v>467900</v>
      </c>
      <c r="L137" s="2">
        <f t="shared" ref="L137:L168" si="43">((K137*1.12+K137*0.087+1229)*1.141)</f>
        <v>645788.08630000008</v>
      </c>
      <c r="M137" s="2">
        <f t="shared" si="42"/>
        <v>177888.08630000008</v>
      </c>
      <c r="N137" s="16">
        <f t="shared" si="41"/>
        <v>0.38018398439837592</v>
      </c>
      <c r="O137" s="5"/>
      <c r="P137" s="6"/>
      <c r="Q137" s="56"/>
      <c r="AB137" s="172" t="s">
        <v>224</v>
      </c>
      <c r="AC137" s="172" t="str">
        <f t="shared" si="33"/>
        <v>Forsker 4</v>
      </c>
      <c r="AD137" s="13">
        <f t="shared" si="35"/>
        <v>0.4</v>
      </c>
      <c r="AE137" s="172" t="str">
        <f t="shared" si="34"/>
        <v>Tekn./Adm. 4</v>
      </c>
      <c r="AF137" s="113">
        <f t="shared" si="36"/>
        <v>0.4</v>
      </c>
    </row>
    <row r="138" spans="8:32" x14ac:dyDescent="0.25">
      <c r="H138" s="59" t="s">
        <v>210</v>
      </c>
      <c r="I138" s="293">
        <v>475800</v>
      </c>
      <c r="J138" s="3"/>
      <c r="K138" s="4">
        <f t="shared" si="37"/>
        <v>475400</v>
      </c>
      <c r="L138" s="2">
        <f t="shared" si="43"/>
        <v>656116.98880000005</v>
      </c>
      <c r="M138" s="2">
        <f t="shared" si="42"/>
        <v>180716.98880000005</v>
      </c>
      <c r="N138" s="16">
        <f t="shared" si="41"/>
        <v>0.38013670340765682</v>
      </c>
      <c r="O138" s="5"/>
      <c r="P138" s="6"/>
      <c r="Q138" s="56"/>
      <c r="AB138" s="172" t="s">
        <v>225</v>
      </c>
      <c r="AC138" s="172" t="str">
        <f t="shared" si="33"/>
        <v>Forsker 4</v>
      </c>
      <c r="AD138" s="13">
        <f t="shared" si="35"/>
        <v>0.4</v>
      </c>
      <c r="AE138" s="172" t="str">
        <f t="shared" si="34"/>
        <v>Tekn./Adm. 4</v>
      </c>
      <c r="AF138" s="113">
        <f t="shared" si="36"/>
        <v>0.4</v>
      </c>
    </row>
    <row r="139" spans="8:32" x14ac:dyDescent="0.25">
      <c r="H139" s="59" t="s">
        <v>211</v>
      </c>
      <c r="I139" s="293">
        <v>483700</v>
      </c>
      <c r="J139" s="3"/>
      <c r="K139" s="4">
        <f t="shared" si="37"/>
        <v>483300</v>
      </c>
      <c r="L139" s="2">
        <f t="shared" si="43"/>
        <v>666996.76610000001</v>
      </c>
      <c r="M139" s="2">
        <f t="shared" si="42"/>
        <v>183696.76610000001</v>
      </c>
      <c r="N139" s="16">
        <f t="shared" si="41"/>
        <v>0.38008848768880615</v>
      </c>
      <c r="O139" s="5"/>
      <c r="P139" s="6"/>
      <c r="Q139" s="56"/>
      <c r="AB139" s="172" t="s">
        <v>226</v>
      </c>
      <c r="AC139" s="172" t="str">
        <f t="shared" si="33"/>
        <v>Forsker 4</v>
      </c>
      <c r="AD139" s="13">
        <f t="shared" si="35"/>
        <v>0.4</v>
      </c>
      <c r="AE139" s="172" t="str">
        <f t="shared" si="34"/>
        <v>Tekn./Adm. 4</v>
      </c>
      <c r="AF139" s="113">
        <f t="shared" si="36"/>
        <v>0.4</v>
      </c>
    </row>
    <row r="140" spans="8:32" x14ac:dyDescent="0.25">
      <c r="H140" s="59" t="s">
        <v>212</v>
      </c>
      <c r="I140" s="293">
        <v>491200</v>
      </c>
      <c r="J140" s="3"/>
      <c r="K140" s="4">
        <f t="shared" si="37"/>
        <v>490800</v>
      </c>
      <c r="L140" s="2">
        <f t="shared" si="43"/>
        <v>677325.66859999998</v>
      </c>
      <c r="M140" s="2">
        <f t="shared" si="42"/>
        <v>186525.66859999998</v>
      </c>
      <c r="N140" s="16">
        <f t="shared" si="41"/>
        <v>0.3800441495517522</v>
      </c>
      <c r="O140" s="5"/>
      <c r="P140" s="6"/>
      <c r="Q140" s="56"/>
      <c r="AB140" s="172" t="s">
        <v>227</v>
      </c>
      <c r="AC140" s="172" t="str">
        <f t="shared" si="33"/>
        <v>Forsker 4</v>
      </c>
      <c r="AD140" s="13">
        <f t="shared" si="35"/>
        <v>0.4</v>
      </c>
      <c r="AE140" s="172" t="str">
        <f t="shared" si="34"/>
        <v>Tekn./Adm. 4</v>
      </c>
      <c r="AF140" s="113">
        <f t="shared" si="36"/>
        <v>0.4</v>
      </c>
    </row>
    <row r="141" spans="8:32" x14ac:dyDescent="0.25">
      <c r="H141" s="59" t="s">
        <v>213</v>
      </c>
      <c r="I141" s="293">
        <v>499500</v>
      </c>
      <c r="J141" s="3"/>
      <c r="K141" s="4">
        <f t="shared" si="37"/>
        <v>499100</v>
      </c>
      <c r="L141" s="2">
        <f t="shared" si="43"/>
        <v>688756.32069999992</v>
      </c>
      <c r="M141" s="2">
        <f t="shared" si="42"/>
        <v>189656.32069999992</v>
      </c>
      <c r="N141" s="16">
        <f t="shared" si="41"/>
        <v>0.37999663534361838</v>
      </c>
      <c r="O141" s="5"/>
      <c r="P141" s="6"/>
      <c r="Q141" s="56"/>
      <c r="AB141" s="172" t="s">
        <v>228</v>
      </c>
      <c r="AC141" s="172" t="str">
        <f t="shared" si="33"/>
        <v>Forsker 4</v>
      </c>
      <c r="AD141" s="13">
        <f t="shared" si="35"/>
        <v>0.4</v>
      </c>
      <c r="AE141" s="172" t="str">
        <f t="shared" si="34"/>
        <v>Tekn./Adm. 4</v>
      </c>
      <c r="AF141" s="113">
        <f t="shared" si="36"/>
        <v>0.4</v>
      </c>
    </row>
    <row r="142" spans="8:32" x14ac:dyDescent="0.25">
      <c r="H142" s="59" t="s">
        <v>214</v>
      </c>
      <c r="I142" s="293">
        <v>507600</v>
      </c>
      <c r="J142" s="3"/>
      <c r="K142" s="4">
        <f t="shared" si="37"/>
        <v>507200</v>
      </c>
      <c r="L142" s="2">
        <f t="shared" si="43"/>
        <v>699911.53540000005</v>
      </c>
      <c r="M142" s="2">
        <f t="shared" si="42"/>
        <v>192711.53540000005</v>
      </c>
      <c r="N142" s="16">
        <f t="shared" si="41"/>
        <v>0.37995176537854902</v>
      </c>
      <c r="O142" s="5"/>
      <c r="P142" s="6"/>
      <c r="Q142" s="56"/>
      <c r="AB142" s="172" t="s">
        <v>229</v>
      </c>
      <c r="AC142" s="172" t="str">
        <f t="shared" si="33"/>
        <v>Forsker 4</v>
      </c>
      <c r="AD142" s="13">
        <f t="shared" si="35"/>
        <v>0.4</v>
      </c>
      <c r="AE142" s="172" t="str">
        <f t="shared" si="34"/>
        <v>Tekn./Adm. 4</v>
      </c>
      <c r="AF142" s="113">
        <f t="shared" si="36"/>
        <v>0.4</v>
      </c>
    </row>
    <row r="143" spans="8:32" x14ac:dyDescent="0.25">
      <c r="H143" s="59" t="s">
        <v>215</v>
      </c>
      <c r="I143" s="293">
        <v>516100</v>
      </c>
      <c r="J143" s="3"/>
      <c r="K143" s="4">
        <f t="shared" si="37"/>
        <v>515700</v>
      </c>
      <c r="L143" s="2">
        <f t="shared" si="43"/>
        <v>711617.62490000005</v>
      </c>
      <c r="M143" s="2">
        <f t="shared" si="42"/>
        <v>195917.62490000005</v>
      </c>
      <c r="N143" s="16">
        <f t="shared" si="41"/>
        <v>0.37990619526856712</v>
      </c>
      <c r="O143" s="5"/>
      <c r="P143" s="6"/>
      <c r="Q143" s="56"/>
      <c r="AB143" s="172" t="s">
        <v>230</v>
      </c>
      <c r="AC143" s="172" t="str">
        <f t="shared" si="33"/>
        <v>Forsker 4</v>
      </c>
      <c r="AD143" s="13">
        <f t="shared" si="35"/>
        <v>0.4</v>
      </c>
      <c r="AE143" s="172" t="str">
        <f t="shared" si="34"/>
        <v>Tekn./Adm. 4</v>
      </c>
      <c r="AF143" s="113">
        <f t="shared" si="36"/>
        <v>0.4</v>
      </c>
    </row>
    <row r="144" spans="8:32" x14ac:dyDescent="0.25">
      <c r="H144" s="59" t="s">
        <v>216</v>
      </c>
      <c r="I144" s="293">
        <v>524900</v>
      </c>
      <c r="J144" s="3"/>
      <c r="K144" s="4">
        <f t="shared" si="37"/>
        <v>524500</v>
      </c>
      <c r="L144" s="2">
        <f t="shared" si="43"/>
        <v>723736.87049999996</v>
      </c>
      <c r="M144" s="2">
        <f t="shared" si="42"/>
        <v>199236.87049999996</v>
      </c>
      <c r="N144" s="16">
        <f t="shared" si="41"/>
        <v>0.3798605729265967</v>
      </c>
      <c r="O144" s="5"/>
      <c r="P144" s="6"/>
      <c r="Q144" s="56"/>
      <c r="AB144" s="172" t="s">
        <v>231</v>
      </c>
      <c r="AC144" s="172" t="str">
        <f t="shared" si="33"/>
        <v>Forsker 3</v>
      </c>
      <c r="AD144" s="13">
        <f t="shared" si="35"/>
        <v>0.4</v>
      </c>
      <c r="AE144" s="172" t="str">
        <f t="shared" si="34"/>
        <v>Tekn./Adm. 3</v>
      </c>
      <c r="AF144" s="113">
        <f t="shared" si="36"/>
        <v>0.4</v>
      </c>
    </row>
    <row r="145" spans="8:32" x14ac:dyDescent="0.25">
      <c r="H145" s="59" t="s">
        <v>217</v>
      </c>
      <c r="I145" s="293">
        <v>534400</v>
      </c>
      <c r="J145" s="3"/>
      <c r="K145" s="4">
        <f t="shared" si="37"/>
        <v>534000</v>
      </c>
      <c r="L145" s="2">
        <f t="shared" si="43"/>
        <v>736820.147</v>
      </c>
      <c r="M145" s="2">
        <f t="shared" si="42"/>
        <v>202820.147</v>
      </c>
      <c r="N145" s="16">
        <f t="shared" si="41"/>
        <v>0.37981300936329587</v>
      </c>
      <c r="O145" s="5"/>
      <c r="P145" s="6"/>
      <c r="Q145" s="56"/>
      <c r="AB145" s="172" t="s">
        <v>232</v>
      </c>
      <c r="AC145" s="172" t="str">
        <f t="shared" si="33"/>
        <v>Forsker 3</v>
      </c>
      <c r="AD145" s="13">
        <f t="shared" si="35"/>
        <v>0.4</v>
      </c>
      <c r="AE145" s="172" t="str">
        <f t="shared" si="34"/>
        <v>Tekn./Adm. 3</v>
      </c>
      <c r="AF145" s="113">
        <f t="shared" si="36"/>
        <v>0.4</v>
      </c>
    </row>
    <row r="146" spans="8:32" x14ac:dyDescent="0.25">
      <c r="H146" s="59" t="s">
        <v>218</v>
      </c>
      <c r="I146" s="293">
        <v>543500</v>
      </c>
      <c r="J146" s="3"/>
      <c r="K146" s="4">
        <f t="shared" si="37"/>
        <v>543100</v>
      </c>
      <c r="L146" s="2">
        <f t="shared" si="43"/>
        <v>749352.54869999993</v>
      </c>
      <c r="M146" s="2">
        <f t="shared" si="42"/>
        <v>206252.54869999993</v>
      </c>
      <c r="N146" s="16">
        <f t="shared" si="41"/>
        <v>0.37976900883815123</v>
      </c>
      <c r="O146" s="5"/>
      <c r="P146" s="6"/>
      <c r="Q146" s="56"/>
      <c r="AB146" s="172" t="s">
        <v>233</v>
      </c>
      <c r="AC146" s="172" t="str">
        <f t="shared" si="33"/>
        <v>Forsker 3</v>
      </c>
      <c r="AD146" s="13">
        <f t="shared" si="35"/>
        <v>0.4</v>
      </c>
      <c r="AE146" s="172" t="str">
        <f t="shared" si="34"/>
        <v>Tekn./Adm. 3</v>
      </c>
      <c r="AF146" s="113">
        <f t="shared" si="36"/>
        <v>0.4</v>
      </c>
    </row>
    <row r="147" spans="8:32" x14ac:dyDescent="0.25">
      <c r="H147" s="59" t="s">
        <v>219</v>
      </c>
      <c r="I147" s="293">
        <v>553500</v>
      </c>
      <c r="J147" s="3"/>
      <c r="K147" s="4">
        <f t="shared" si="37"/>
        <v>553100</v>
      </c>
      <c r="L147" s="2">
        <f t="shared" si="43"/>
        <v>763124.41870000004</v>
      </c>
      <c r="M147" s="2">
        <f t="shared" si="42"/>
        <v>210024.41870000004</v>
      </c>
      <c r="N147" s="16">
        <f t="shared" si="41"/>
        <v>0.37972232634243364</v>
      </c>
      <c r="O147" s="5"/>
      <c r="P147" s="6"/>
      <c r="Q147" s="56"/>
      <c r="AB147" s="172" t="s">
        <v>234</v>
      </c>
      <c r="AC147" s="172" t="str">
        <f t="shared" si="33"/>
        <v>Forsker 3</v>
      </c>
      <c r="AD147" s="13">
        <f t="shared" si="35"/>
        <v>0.4</v>
      </c>
      <c r="AE147" s="172" t="str">
        <f t="shared" si="34"/>
        <v>Tekn./Adm. 3</v>
      </c>
      <c r="AF147" s="113">
        <f t="shared" si="36"/>
        <v>0.4</v>
      </c>
    </row>
    <row r="148" spans="8:32" x14ac:dyDescent="0.25">
      <c r="H148" s="59" t="s">
        <v>220</v>
      </c>
      <c r="I148" s="293">
        <v>563900</v>
      </c>
      <c r="J148" s="3"/>
      <c r="K148" s="4">
        <f t="shared" si="37"/>
        <v>563500</v>
      </c>
      <c r="L148" s="2">
        <f t="shared" si="43"/>
        <v>777447.16350000014</v>
      </c>
      <c r="M148" s="2">
        <f t="shared" si="42"/>
        <v>213947.16350000014</v>
      </c>
      <c r="N148" s="16">
        <f t="shared" si="41"/>
        <v>0.37967553416149091</v>
      </c>
      <c r="O148" s="5"/>
      <c r="P148" s="6"/>
      <c r="Q148" s="56"/>
      <c r="AB148" s="172" t="s">
        <v>235</v>
      </c>
      <c r="AC148" s="172" t="str">
        <f t="shared" si="33"/>
        <v>Forsker 3</v>
      </c>
      <c r="AD148" s="13">
        <f t="shared" si="35"/>
        <v>0.4</v>
      </c>
      <c r="AE148" s="172" t="str">
        <f t="shared" si="34"/>
        <v>Tekn./Adm. 3</v>
      </c>
      <c r="AF148" s="113">
        <f t="shared" si="36"/>
        <v>0.4</v>
      </c>
    </row>
    <row r="149" spans="8:32" x14ac:dyDescent="0.25">
      <c r="H149" s="59" t="s">
        <v>221</v>
      </c>
      <c r="I149" s="293">
        <v>574700</v>
      </c>
      <c r="J149" s="3"/>
      <c r="K149" s="4">
        <f t="shared" si="37"/>
        <v>574300</v>
      </c>
      <c r="L149" s="2">
        <f t="shared" si="43"/>
        <v>792320.78310000012</v>
      </c>
      <c r="M149" s="2">
        <f t="shared" si="42"/>
        <v>218020.78310000012</v>
      </c>
      <c r="N149" s="16">
        <f t="shared" si="41"/>
        <v>0.37962873602646718</v>
      </c>
      <c r="O149" s="5"/>
      <c r="P149" s="6"/>
      <c r="Q149" s="56"/>
      <c r="AB149" s="172" t="s">
        <v>236</v>
      </c>
      <c r="AC149" s="172" t="str">
        <f t="shared" si="33"/>
        <v>Forsker 3</v>
      </c>
      <c r="AD149" s="13">
        <f t="shared" si="35"/>
        <v>0.4</v>
      </c>
      <c r="AE149" s="172" t="str">
        <f t="shared" si="34"/>
        <v>Tekn./Adm. 3</v>
      </c>
      <c r="AF149" s="113">
        <f t="shared" si="36"/>
        <v>0.4</v>
      </c>
    </row>
    <row r="150" spans="8:32" x14ac:dyDescent="0.25">
      <c r="H150" s="59" t="s">
        <v>222</v>
      </c>
      <c r="I150" s="293">
        <v>583500</v>
      </c>
      <c r="J150" s="3"/>
      <c r="K150" s="4">
        <f t="shared" si="37"/>
        <v>583100</v>
      </c>
      <c r="L150" s="2">
        <f t="shared" si="43"/>
        <v>804440.02870000014</v>
      </c>
      <c r="M150" s="2">
        <f t="shared" si="42"/>
        <v>221340.02870000014</v>
      </c>
      <c r="N150" s="16">
        <f t="shared" si="41"/>
        <v>0.37959188595438198</v>
      </c>
      <c r="O150" s="5"/>
      <c r="P150" s="6"/>
      <c r="Q150" s="56"/>
      <c r="AB150" s="172" t="s">
        <v>237</v>
      </c>
      <c r="AC150" s="172" t="str">
        <f t="shared" si="33"/>
        <v>Forsker 3</v>
      </c>
      <c r="AD150" s="13">
        <f t="shared" si="35"/>
        <v>0.4</v>
      </c>
      <c r="AE150" s="172" t="str">
        <f t="shared" si="34"/>
        <v>Tekn./Adm. 3</v>
      </c>
      <c r="AF150" s="113">
        <f t="shared" si="36"/>
        <v>0.4</v>
      </c>
    </row>
    <row r="151" spans="8:32" x14ac:dyDescent="0.25">
      <c r="H151" s="59" t="s">
        <v>223</v>
      </c>
      <c r="I151" s="293">
        <v>594300</v>
      </c>
      <c r="J151" s="3"/>
      <c r="K151" s="4">
        <f t="shared" ref="K151:K187" si="44">I151-400</f>
        <v>593900</v>
      </c>
      <c r="L151" s="2">
        <f t="shared" si="43"/>
        <v>819313.64830000023</v>
      </c>
      <c r="M151" s="2">
        <f t="shared" si="42"/>
        <v>225413.64830000023</v>
      </c>
      <c r="N151" s="16">
        <f t="shared" si="41"/>
        <v>0.37954815339282749</v>
      </c>
      <c r="O151" s="5"/>
      <c r="P151" s="6"/>
      <c r="Q151" s="56"/>
      <c r="AB151" s="172" t="s">
        <v>238</v>
      </c>
      <c r="AC151" s="172" t="str">
        <f t="shared" si="33"/>
        <v>Forsker 2</v>
      </c>
      <c r="AD151" s="13">
        <f t="shared" si="35"/>
        <v>0.4</v>
      </c>
      <c r="AE151" s="172" t="str">
        <f t="shared" si="34"/>
        <v>Tekn./Adm. 2</v>
      </c>
      <c r="AF151" s="113">
        <f t="shared" si="36"/>
        <v>0.4</v>
      </c>
    </row>
    <row r="152" spans="8:32" x14ac:dyDescent="0.25">
      <c r="H152" s="59" t="s">
        <v>224</v>
      </c>
      <c r="I152" s="293">
        <v>604700</v>
      </c>
      <c r="J152" s="3"/>
      <c r="K152" s="4">
        <f t="shared" si="44"/>
        <v>604300</v>
      </c>
      <c r="L152" s="2">
        <f t="shared" si="43"/>
        <v>833636.3931000001</v>
      </c>
      <c r="M152" s="2">
        <f t="shared" si="42"/>
        <v>229336.3931000001</v>
      </c>
      <c r="N152" s="16">
        <f t="shared" si="41"/>
        <v>0.37950751795465848</v>
      </c>
      <c r="O152" s="5"/>
      <c r="P152" s="6"/>
      <c r="Q152" s="56"/>
      <c r="AB152" s="172" t="s">
        <v>239</v>
      </c>
      <c r="AC152" s="172" t="str">
        <f t="shared" si="33"/>
        <v>Forsker 2</v>
      </c>
      <c r="AD152" s="13">
        <f t="shared" si="35"/>
        <v>0.4</v>
      </c>
      <c r="AE152" s="172" t="str">
        <f t="shared" si="34"/>
        <v>Tekn./Adm. 2</v>
      </c>
      <c r="AF152" s="113">
        <f t="shared" si="36"/>
        <v>0.4</v>
      </c>
    </row>
    <row r="153" spans="8:32" x14ac:dyDescent="0.25">
      <c r="H153" s="59" t="s">
        <v>225</v>
      </c>
      <c r="I153" s="293">
        <v>615800</v>
      </c>
      <c r="J153" s="3"/>
      <c r="K153" s="4">
        <f t="shared" si="44"/>
        <v>615400</v>
      </c>
      <c r="L153" s="2">
        <f t="shared" si="43"/>
        <v>848923.16880000022</v>
      </c>
      <c r="M153" s="2">
        <f t="shared" si="42"/>
        <v>233523.16880000022</v>
      </c>
      <c r="N153" s="16">
        <f t="shared" si="41"/>
        <v>0.3794656626584339</v>
      </c>
      <c r="O153" s="5"/>
      <c r="P153" s="6"/>
      <c r="Q153" s="56"/>
      <c r="AB153" s="172" t="s">
        <v>240</v>
      </c>
      <c r="AC153" s="172" t="str">
        <f t="shared" ref="AC153:AC172" si="45">AC69</f>
        <v>Forsker 2</v>
      </c>
      <c r="AD153" s="13">
        <f t="shared" si="35"/>
        <v>0.4</v>
      </c>
      <c r="AE153" s="172" t="str">
        <f t="shared" ref="AE153:AE172" si="46">AE69</f>
        <v>Tekn./Adm. 2</v>
      </c>
      <c r="AF153" s="113">
        <f t="shared" si="36"/>
        <v>0.4</v>
      </c>
    </row>
    <row r="154" spans="8:32" x14ac:dyDescent="0.25">
      <c r="H154" s="59" t="s">
        <v>226</v>
      </c>
      <c r="I154" s="293">
        <v>626100</v>
      </c>
      <c r="J154" s="3"/>
      <c r="K154" s="4">
        <f t="shared" si="44"/>
        <v>625700</v>
      </c>
      <c r="L154" s="2">
        <f t="shared" si="43"/>
        <v>863108.19490000012</v>
      </c>
      <c r="M154" s="2">
        <f t="shared" si="42"/>
        <v>237408.19490000012</v>
      </c>
      <c r="N154" s="16">
        <f t="shared" si="41"/>
        <v>0.37942815230941362</v>
      </c>
      <c r="O154" s="5"/>
      <c r="P154" s="6"/>
      <c r="Q154" s="56"/>
      <c r="AB154" s="172" t="s">
        <v>241</v>
      </c>
      <c r="AC154" s="172" t="str">
        <f t="shared" si="45"/>
        <v>Forsker 2</v>
      </c>
      <c r="AD154" s="13">
        <f t="shared" ref="AD154:AD172" si="47">VLOOKUP(AC154,$S$21:$X$27,6,FALSE)</f>
        <v>0.4</v>
      </c>
      <c r="AE154" s="172" t="str">
        <f t="shared" si="46"/>
        <v>Tekn./Adm. 2</v>
      </c>
      <c r="AF154" s="113">
        <f t="shared" ref="AF154:AF172" si="48">VLOOKUP(AE154,$S$14:$X$20,6,FALSE)</f>
        <v>0.4</v>
      </c>
    </row>
    <row r="155" spans="8:32" x14ac:dyDescent="0.25">
      <c r="H155" s="59" t="s">
        <v>227</v>
      </c>
      <c r="I155" s="293">
        <v>637900</v>
      </c>
      <c r="J155" s="3"/>
      <c r="K155" s="4">
        <f t="shared" si="44"/>
        <v>637500</v>
      </c>
      <c r="L155" s="2">
        <f t="shared" si="43"/>
        <v>879359.00150000013</v>
      </c>
      <c r="M155" s="2">
        <f t="shared" si="42"/>
        <v>241859.00150000013</v>
      </c>
      <c r="N155" s="16">
        <f t="shared" si="41"/>
        <v>0.37938666901960805</v>
      </c>
      <c r="O155" s="5"/>
      <c r="P155" s="6"/>
      <c r="Q155" s="56"/>
      <c r="AB155" s="172" t="s">
        <v>242</v>
      </c>
      <c r="AC155" s="172" t="str">
        <f t="shared" si="45"/>
        <v>Forsker 2</v>
      </c>
      <c r="AD155" s="13">
        <f t="shared" si="47"/>
        <v>0.4</v>
      </c>
      <c r="AE155" s="172" t="str">
        <f t="shared" si="46"/>
        <v>Tekn./Adm. 2</v>
      </c>
      <c r="AF155" s="113">
        <f t="shared" si="48"/>
        <v>0.4</v>
      </c>
    </row>
    <row r="156" spans="8:32" x14ac:dyDescent="0.25">
      <c r="H156" s="59" t="s">
        <v>228</v>
      </c>
      <c r="I156" s="293">
        <v>650300</v>
      </c>
      <c r="J156" s="3"/>
      <c r="K156" s="4">
        <f t="shared" si="44"/>
        <v>649900</v>
      </c>
      <c r="L156" s="2">
        <f t="shared" si="43"/>
        <v>896436.12030000018</v>
      </c>
      <c r="M156" s="2">
        <f t="shared" si="42"/>
        <v>246536.12030000018</v>
      </c>
      <c r="N156" s="16">
        <f t="shared" si="41"/>
        <v>0.37934469964609968</v>
      </c>
      <c r="O156" s="5"/>
      <c r="P156" s="6"/>
      <c r="Q156" s="56"/>
      <c r="AB156" s="172" t="s">
        <v>243</v>
      </c>
      <c r="AC156" s="172" t="str">
        <f t="shared" si="45"/>
        <v>Forsker 2</v>
      </c>
      <c r="AD156" s="13">
        <f t="shared" si="47"/>
        <v>0.4</v>
      </c>
      <c r="AE156" s="172" t="str">
        <f t="shared" si="46"/>
        <v>Tekn./Adm. 2</v>
      </c>
      <c r="AF156" s="113">
        <f t="shared" si="48"/>
        <v>0.4</v>
      </c>
    </row>
    <row r="157" spans="8:32" x14ac:dyDescent="0.25">
      <c r="H157" s="59" t="s">
        <v>229</v>
      </c>
      <c r="I157" s="293">
        <v>665700</v>
      </c>
      <c r="J157" s="3"/>
      <c r="K157" s="4">
        <f t="shared" si="44"/>
        <v>665300</v>
      </c>
      <c r="L157" s="2">
        <f t="shared" si="43"/>
        <v>917644.80010000011</v>
      </c>
      <c r="M157" s="2">
        <f t="shared" si="42"/>
        <v>252344.80010000011</v>
      </c>
      <c r="N157" s="16">
        <f t="shared" si="41"/>
        <v>0.379294754396513</v>
      </c>
      <c r="O157" s="5"/>
      <c r="P157" s="6"/>
      <c r="Q157" s="56"/>
      <c r="AB157" s="172" t="s">
        <v>244</v>
      </c>
      <c r="AC157" s="172" t="str">
        <f t="shared" si="45"/>
        <v>Forsker 2</v>
      </c>
      <c r="AD157" s="13">
        <f t="shared" si="47"/>
        <v>0.4</v>
      </c>
      <c r="AE157" s="172" t="str">
        <f t="shared" si="46"/>
        <v>Tekn./Adm. 2</v>
      </c>
      <c r="AF157" s="113">
        <f t="shared" si="48"/>
        <v>0.4</v>
      </c>
    </row>
    <row r="158" spans="8:32" x14ac:dyDescent="0.25">
      <c r="H158" s="59" t="s">
        <v>230</v>
      </c>
      <c r="I158" s="293">
        <v>677600</v>
      </c>
      <c r="J158" s="3"/>
      <c r="K158" s="4">
        <f t="shared" si="44"/>
        <v>677200</v>
      </c>
      <c r="L158" s="2">
        <f t="shared" si="43"/>
        <v>934033.32540000021</v>
      </c>
      <c r="M158" s="2">
        <f t="shared" si="42"/>
        <v>256833.32540000021</v>
      </c>
      <c r="N158" s="16">
        <f t="shared" si="41"/>
        <v>0.37925771618428855</v>
      </c>
      <c r="O158" s="5"/>
      <c r="P158" s="6"/>
      <c r="Q158" s="56"/>
      <c r="AB158" s="172" t="s">
        <v>245</v>
      </c>
      <c r="AC158" s="172" t="str">
        <f t="shared" si="45"/>
        <v>Forsker 2</v>
      </c>
      <c r="AD158" s="13">
        <f t="shared" si="47"/>
        <v>0.4</v>
      </c>
      <c r="AE158" s="172" t="str">
        <f t="shared" si="46"/>
        <v>Tekn./Adm. 2</v>
      </c>
      <c r="AF158" s="113">
        <f t="shared" si="48"/>
        <v>0.4</v>
      </c>
    </row>
    <row r="159" spans="8:32" x14ac:dyDescent="0.25">
      <c r="H159" s="59" t="s">
        <v>231</v>
      </c>
      <c r="I159" s="293">
        <v>689600</v>
      </c>
      <c r="J159" s="3"/>
      <c r="K159" s="4">
        <f t="shared" si="44"/>
        <v>689200</v>
      </c>
      <c r="L159" s="2">
        <f t="shared" si="43"/>
        <v>950559.56940000015</v>
      </c>
      <c r="M159" s="2">
        <f t="shared" si="42"/>
        <v>261359.56940000015</v>
      </c>
      <c r="N159" s="16">
        <f t="shared" si="41"/>
        <v>0.37922166192687196</v>
      </c>
      <c r="O159" s="5"/>
      <c r="P159" s="6"/>
      <c r="Q159" s="56"/>
      <c r="AB159" s="172" t="s">
        <v>246</v>
      </c>
      <c r="AC159" s="172" t="str">
        <f t="shared" si="45"/>
        <v>Forsker 2</v>
      </c>
      <c r="AD159" s="13">
        <f t="shared" si="47"/>
        <v>0.4</v>
      </c>
      <c r="AE159" s="172" t="str">
        <f t="shared" si="46"/>
        <v>Tekn./Adm. 2</v>
      </c>
      <c r="AF159" s="113">
        <f t="shared" si="48"/>
        <v>0.4</v>
      </c>
    </row>
    <row r="160" spans="8:32" x14ac:dyDescent="0.25">
      <c r="H160" s="59" t="s">
        <v>232</v>
      </c>
      <c r="I160" s="293">
        <v>702100</v>
      </c>
      <c r="J160" s="3"/>
      <c r="K160" s="4">
        <f t="shared" si="44"/>
        <v>701700</v>
      </c>
      <c r="L160" s="2">
        <f t="shared" si="43"/>
        <v>967774.40690000018</v>
      </c>
      <c r="M160" s="2">
        <f t="shared" si="42"/>
        <v>266074.40690000018</v>
      </c>
      <c r="N160" s="16">
        <f t="shared" si="41"/>
        <v>0.37918541670229466</v>
      </c>
      <c r="O160" s="5"/>
      <c r="P160" s="6"/>
      <c r="Q160" s="56"/>
      <c r="AB160" s="172" t="s">
        <v>247</v>
      </c>
      <c r="AC160" s="172" t="str">
        <f t="shared" si="45"/>
        <v>Forsker 2</v>
      </c>
      <c r="AD160" s="13">
        <f t="shared" si="47"/>
        <v>0.4</v>
      </c>
      <c r="AE160" s="172" t="str">
        <f t="shared" si="46"/>
        <v>Tekn./Adm. 2</v>
      </c>
      <c r="AF160" s="113">
        <f t="shared" si="48"/>
        <v>0.4</v>
      </c>
    </row>
    <row r="161" spans="8:32" x14ac:dyDescent="0.25">
      <c r="H161" s="59" t="s">
        <v>233</v>
      </c>
      <c r="I161" s="293">
        <v>715900</v>
      </c>
      <c r="J161" s="3"/>
      <c r="K161" s="4">
        <f t="shared" si="44"/>
        <v>715500</v>
      </c>
      <c r="L161" s="2">
        <f t="shared" si="43"/>
        <v>986779.58750000014</v>
      </c>
      <c r="M161" s="2">
        <f t="shared" si="42"/>
        <v>271279.58750000014</v>
      </c>
      <c r="N161" s="16">
        <f t="shared" si="41"/>
        <v>0.37914687281621262</v>
      </c>
      <c r="O161" s="5"/>
      <c r="P161" s="6"/>
      <c r="Q161" s="56"/>
      <c r="AB161" s="172" t="s">
        <v>248</v>
      </c>
      <c r="AC161" s="172" t="str">
        <f t="shared" si="45"/>
        <v>Forsker 1</v>
      </c>
      <c r="AD161" s="13">
        <f t="shared" si="47"/>
        <v>0.4</v>
      </c>
      <c r="AE161" s="172" t="str">
        <f t="shared" si="46"/>
        <v>Tekn./Adm. 1</v>
      </c>
      <c r="AF161" s="113">
        <f t="shared" si="48"/>
        <v>0.4</v>
      </c>
    </row>
    <row r="162" spans="8:32" x14ac:dyDescent="0.25">
      <c r="H162" s="59" t="s">
        <v>234</v>
      </c>
      <c r="I162" s="293">
        <v>734400</v>
      </c>
      <c r="J162" s="3"/>
      <c r="K162" s="4">
        <f t="shared" si="44"/>
        <v>734000</v>
      </c>
      <c r="L162" s="2">
        <f t="shared" si="43"/>
        <v>1012257.5470000001</v>
      </c>
      <c r="M162" s="2">
        <f t="shared" si="42"/>
        <v>278257.54700000014</v>
      </c>
      <c r="N162" s="16">
        <f t="shared" si="41"/>
        <v>0.37909747547683942</v>
      </c>
      <c r="O162" s="5"/>
      <c r="P162" s="6"/>
      <c r="Q162" s="56"/>
      <c r="AB162" s="172" t="s">
        <v>249</v>
      </c>
      <c r="AC162" s="172" t="str">
        <f t="shared" si="45"/>
        <v>Forsker 1</v>
      </c>
      <c r="AD162" s="13">
        <f t="shared" si="47"/>
        <v>0.4</v>
      </c>
      <c r="AE162" s="172" t="str">
        <f t="shared" si="46"/>
        <v>Tekn./Adm. 1</v>
      </c>
      <c r="AF162" s="113">
        <f t="shared" si="48"/>
        <v>0.4</v>
      </c>
    </row>
    <row r="163" spans="8:32" x14ac:dyDescent="0.25">
      <c r="H163" s="59" t="s">
        <v>235</v>
      </c>
      <c r="I163" s="293">
        <v>752800</v>
      </c>
      <c r="J163" s="3"/>
      <c r="K163" s="4">
        <f t="shared" si="44"/>
        <v>752400</v>
      </c>
      <c r="L163" s="2">
        <f t="shared" si="43"/>
        <v>1037597.7878000002</v>
      </c>
      <c r="M163" s="2">
        <f t="shared" si="42"/>
        <v>285197.78780000017</v>
      </c>
      <c r="N163" s="16">
        <f t="shared" si="41"/>
        <v>0.37905075465178117</v>
      </c>
      <c r="O163" s="5"/>
      <c r="P163" s="6"/>
      <c r="Q163" s="56"/>
      <c r="AB163" s="172" t="s">
        <v>250</v>
      </c>
      <c r="AC163" s="172" t="str">
        <f t="shared" si="45"/>
        <v>Forsker 1</v>
      </c>
      <c r="AD163" s="13">
        <f t="shared" si="47"/>
        <v>0.4</v>
      </c>
      <c r="AE163" s="172" t="str">
        <f t="shared" si="46"/>
        <v>Tekn./Adm. 1</v>
      </c>
      <c r="AF163" s="113">
        <f t="shared" si="48"/>
        <v>0.4</v>
      </c>
    </row>
    <row r="164" spans="8:32" x14ac:dyDescent="0.25">
      <c r="H164" s="59" t="s">
        <v>236</v>
      </c>
      <c r="I164" s="293">
        <v>776900</v>
      </c>
      <c r="J164" s="3"/>
      <c r="K164" s="4">
        <f t="shared" si="44"/>
        <v>776500</v>
      </c>
      <c r="L164" s="2">
        <f t="shared" si="43"/>
        <v>1070787.9945</v>
      </c>
      <c r="M164" s="2">
        <f t="shared" si="42"/>
        <v>294287.99450000003</v>
      </c>
      <c r="N164" s="16">
        <f t="shared" si="41"/>
        <v>0.3789929098518996</v>
      </c>
      <c r="O164" s="5"/>
      <c r="P164" s="6"/>
      <c r="Q164" s="56"/>
      <c r="AB164" s="172" t="s">
        <v>251</v>
      </c>
      <c r="AC164" s="172" t="str">
        <f t="shared" si="45"/>
        <v>Forsker 1</v>
      </c>
      <c r="AD164" s="13">
        <f t="shared" si="47"/>
        <v>0.4</v>
      </c>
      <c r="AE164" s="172" t="str">
        <f t="shared" si="46"/>
        <v>Tekn./Adm. 1</v>
      </c>
      <c r="AF164" s="113">
        <f t="shared" si="48"/>
        <v>0.4</v>
      </c>
    </row>
    <row r="165" spans="8:32" x14ac:dyDescent="0.25">
      <c r="H165" s="59" t="s">
        <v>237</v>
      </c>
      <c r="I165" s="293">
        <v>801300</v>
      </c>
      <c r="J165" s="3"/>
      <c r="K165" s="4">
        <f t="shared" si="44"/>
        <v>800900</v>
      </c>
      <c r="L165" s="2">
        <f t="shared" si="43"/>
        <v>1104391.3573</v>
      </c>
      <c r="M165" s="2">
        <f t="shared" si="42"/>
        <v>303491.35730000003</v>
      </c>
      <c r="N165" s="16">
        <f t="shared" si="41"/>
        <v>0.37893789149706586</v>
      </c>
      <c r="O165" s="5"/>
      <c r="P165" s="6"/>
      <c r="Q165" s="56"/>
      <c r="AB165" s="172" t="s">
        <v>252</v>
      </c>
      <c r="AC165" s="172" t="str">
        <f t="shared" si="45"/>
        <v>Forsker 1</v>
      </c>
      <c r="AD165" s="13">
        <f t="shared" si="47"/>
        <v>0.4</v>
      </c>
      <c r="AE165" s="172" t="str">
        <f t="shared" si="46"/>
        <v>Tekn./Adm. 1</v>
      </c>
      <c r="AF165" s="113">
        <f t="shared" si="48"/>
        <v>0.4</v>
      </c>
    </row>
    <row r="166" spans="8:32" x14ac:dyDescent="0.25">
      <c r="H166" s="59" t="s">
        <v>238</v>
      </c>
      <c r="I166" s="293">
        <v>825900</v>
      </c>
      <c r="J166" s="3"/>
      <c r="K166" s="4">
        <f t="shared" si="44"/>
        <v>825500</v>
      </c>
      <c r="L166" s="2">
        <f t="shared" si="43"/>
        <v>1138270.1575000002</v>
      </c>
      <c r="M166" s="2">
        <f t="shared" si="42"/>
        <v>312770.1575000002</v>
      </c>
      <c r="N166" s="16">
        <f t="shared" si="41"/>
        <v>0.37888571471835275</v>
      </c>
      <c r="O166" s="5"/>
      <c r="P166" s="6"/>
      <c r="Q166" s="56"/>
      <c r="AB166" s="172" t="s">
        <v>253</v>
      </c>
      <c r="AC166" s="172" t="str">
        <f t="shared" si="45"/>
        <v>Forsker 1</v>
      </c>
      <c r="AD166" s="13">
        <f t="shared" si="47"/>
        <v>0.4</v>
      </c>
      <c r="AE166" s="172" t="str">
        <f t="shared" si="46"/>
        <v>Tekn./Adm. 1</v>
      </c>
      <c r="AF166" s="113">
        <f t="shared" si="48"/>
        <v>0.4</v>
      </c>
    </row>
    <row r="167" spans="8:32" x14ac:dyDescent="0.25">
      <c r="H167" s="59" t="s">
        <v>239</v>
      </c>
      <c r="I167" s="293">
        <v>850000</v>
      </c>
      <c r="J167" s="3"/>
      <c r="K167" s="4">
        <f t="shared" si="44"/>
        <v>849600</v>
      </c>
      <c r="L167" s="2">
        <f t="shared" si="43"/>
        <v>1171460.3642000002</v>
      </c>
      <c r="M167" s="2">
        <f t="shared" si="42"/>
        <v>321860.36420000019</v>
      </c>
      <c r="N167" s="16">
        <f t="shared" si="41"/>
        <v>0.37883752848399266</v>
      </c>
      <c r="O167" s="5"/>
      <c r="P167" s="6"/>
      <c r="Q167" s="56"/>
      <c r="AB167" s="172" t="s">
        <v>254</v>
      </c>
      <c r="AC167" s="172" t="str">
        <f t="shared" si="45"/>
        <v>Forsker 1</v>
      </c>
      <c r="AD167" s="13">
        <f t="shared" si="47"/>
        <v>0.4</v>
      </c>
      <c r="AE167" s="172" t="str">
        <f t="shared" si="46"/>
        <v>Tekn./Adm. 1</v>
      </c>
      <c r="AF167" s="113">
        <f t="shared" si="48"/>
        <v>0.4</v>
      </c>
    </row>
    <row r="168" spans="8:32" x14ac:dyDescent="0.25">
      <c r="H168" s="59" t="s">
        <v>240</v>
      </c>
      <c r="I168" s="293">
        <v>873400</v>
      </c>
      <c r="J168" s="3"/>
      <c r="K168" s="4">
        <f t="shared" si="44"/>
        <v>873000</v>
      </c>
      <c r="L168" s="2">
        <f t="shared" si="43"/>
        <v>1203686.54</v>
      </c>
      <c r="M168" s="2">
        <f t="shared" si="42"/>
        <v>330686.54000000004</v>
      </c>
      <c r="N168" s="16">
        <f t="shared" si="41"/>
        <v>0.37879328751431851</v>
      </c>
      <c r="O168" s="5"/>
      <c r="P168" s="6"/>
      <c r="Q168" s="56"/>
      <c r="AB168" s="172" t="s">
        <v>255</v>
      </c>
      <c r="AC168" s="172" t="str">
        <f t="shared" si="45"/>
        <v>Forsker 1</v>
      </c>
      <c r="AD168" s="13">
        <f t="shared" si="47"/>
        <v>0.4</v>
      </c>
      <c r="AE168" s="172" t="str">
        <f t="shared" si="46"/>
        <v>Tekn./Adm. 1</v>
      </c>
      <c r="AF168" s="113">
        <f t="shared" si="48"/>
        <v>0.4</v>
      </c>
    </row>
    <row r="169" spans="8:32" x14ac:dyDescent="0.25">
      <c r="H169" s="59" t="s">
        <v>241</v>
      </c>
      <c r="I169" s="293">
        <v>896500</v>
      </c>
      <c r="J169" s="3"/>
      <c r="K169" s="4">
        <f t="shared" si="44"/>
        <v>896100</v>
      </c>
      <c r="L169" s="2">
        <f t="shared" ref="L169:L200" si="49">((K169*1.12+K169*0.087+1229)*1.141)</f>
        <v>1235499.5597000003</v>
      </c>
      <c r="M169" s="2">
        <f t="shared" si="42"/>
        <v>339399.55970000033</v>
      </c>
      <c r="N169" s="16">
        <f t="shared" si="41"/>
        <v>0.3787518800357107</v>
      </c>
      <c r="O169" s="5"/>
      <c r="P169" s="6"/>
      <c r="Q169" s="56"/>
      <c r="AB169" s="172" t="s">
        <v>256</v>
      </c>
      <c r="AC169" s="172" t="str">
        <f t="shared" si="45"/>
        <v>Forsker 1</v>
      </c>
      <c r="AD169" s="13">
        <f t="shared" si="47"/>
        <v>0.4</v>
      </c>
      <c r="AE169" s="172" t="str">
        <f t="shared" si="46"/>
        <v>Tekn./Adm. 1</v>
      </c>
      <c r="AF169" s="113">
        <f t="shared" si="48"/>
        <v>0.4</v>
      </c>
    </row>
    <row r="170" spans="8:32" x14ac:dyDescent="0.25">
      <c r="H170" s="59" t="s">
        <v>242</v>
      </c>
      <c r="I170" s="293">
        <v>919700</v>
      </c>
      <c r="J170" s="3"/>
      <c r="K170" s="4">
        <f t="shared" si="44"/>
        <v>919300</v>
      </c>
      <c r="L170" s="2">
        <f t="shared" si="49"/>
        <v>1267450.2981</v>
      </c>
      <c r="M170" s="2">
        <f t="shared" si="42"/>
        <v>348150.29810000001</v>
      </c>
      <c r="N170" s="16">
        <f t="shared" si="41"/>
        <v>0.3787123877950615</v>
      </c>
      <c r="O170" s="5"/>
      <c r="P170" s="6"/>
      <c r="Q170" s="56"/>
      <c r="AB170" s="172" t="s">
        <v>257</v>
      </c>
      <c r="AC170" s="172" t="str">
        <f t="shared" si="45"/>
        <v>Forsker 1</v>
      </c>
      <c r="AD170" s="13">
        <f t="shared" si="47"/>
        <v>0.4</v>
      </c>
      <c r="AE170" s="172" t="str">
        <f t="shared" si="46"/>
        <v>Tekn./Adm. 1</v>
      </c>
      <c r="AF170" s="113">
        <f t="shared" si="48"/>
        <v>0.4</v>
      </c>
    </row>
    <row r="171" spans="8:32" x14ac:dyDescent="0.25">
      <c r="H171" s="59" t="s">
        <v>243</v>
      </c>
      <c r="I171" s="293">
        <v>948900</v>
      </c>
      <c r="J171" s="3"/>
      <c r="K171" s="4">
        <f t="shared" si="44"/>
        <v>948500</v>
      </c>
      <c r="L171" s="2">
        <f t="shared" si="49"/>
        <v>1307664.1584999999</v>
      </c>
      <c r="M171" s="2">
        <f t="shared" si="42"/>
        <v>359164.1584999999</v>
      </c>
      <c r="N171" s="16">
        <f t="shared" si="41"/>
        <v>0.37866542804428033</v>
      </c>
      <c r="O171" s="5"/>
      <c r="P171" s="6"/>
      <c r="Q171" s="56"/>
      <c r="AB171" s="172" t="s">
        <v>258</v>
      </c>
      <c r="AC171" s="172" t="str">
        <f t="shared" si="45"/>
        <v>Forsker 1</v>
      </c>
      <c r="AD171" s="13">
        <f t="shared" si="47"/>
        <v>0.4</v>
      </c>
      <c r="AE171" s="172" t="str">
        <f t="shared" si="46"/>
        <v>Tekn./Adm. 1</v>
      </c>
      <c r="AF171" s="113">
        <f t="shared" si="48"/>
        <v>0.4</v>
      </c>
    </row>
    <row r="172" spans="8:32" x14ac:dyDescent="0.25">
      <c r="H172" s="59" t="s">
        <v>244</v>
      </c>
      <c r="I172" s="293">
        <v>977600</v>
      </c>
      <c r="J172" s="3"/>
      <c r="K172" s="4">
        <f t="shared" si="44"/>
        <v>977200</v>
      </c>
      <c r="L172" s="2">
        <f t="shared" si="49"/>
        <v>1347189.4253999998</v>
      </c>
      <c r="M172" s="2">
        <f t="shared" si="42"/>
        <v>369989.42539999983</v>
      </c>
      <c r="N172" s="16">
        <f t="shared" si="41"/>
        <v>0.37862200716332362</v>
      </c>
      <c r="O172" s="5"/>
      <c r="P172" s="6"/>
      <c r="Q172" s="56"/>
      <c r="AB172" s="172" t="s">
        <v>277</v>
      </c>
      <c r="AC172" s="172" t="str">
        <f t="shared" si="45"/>
        <v>Forsker 1</v>
      </c>
      <c r="AD172" s="13">
        <f t="shared" si="47"/>
        <v>0.4</v>
      </c>
      <c r="AE172" s="172" t="str">
        <f t="shared" si="46"/>
        <v>Tekn./Adm. 1</v>
      </c>
      <c r="AF172" s="113">
        <f t="shared" si="48"/>
        <v>0.4</v>
      </c>
    </row>
    <row r="173" spans="8:32" x14ac:dyDescent="0.25">
      <c r="H173" s="59" t="s">
        <v>245</v>
      </c>
      <c r="I173" s="293">
        <v>1007100</v>
      </c>
      <c r="J173" s="3"/>
      <c r="K173" s="4">
        <f t="shared" si="44"/>
        <v>1006700</v>
      </c>
      <c r="L173" s="2">
        <f t="shared" si="49"/>
        <v>1387816.4419</v>
      </c>
      <c r="M173" s="2">
        <f t="shared" si="42"/>
        <v>381116.44189999998</v>
      </c>
      <c r="N173" s="16">
        <f t="shared" si="41"/>
        <v>0.37857995619350349</v>
      </c>
      <c r="O173" s="5"/>
      <c r="P173" s="6"/>
      <c r="Q173" s="56"/>
    </row>
    <row r="174" spans="8:32" x14ac:dyDescent="0.25">
      <c r="H174" s="59" t="s">
        <v>246</v>
      </c>
      <c r="I174" s="293">
        <v>1030100</v>
      </c>
      <c r="J174" s="3"/>
      <c r="K174" s="4">
        <f t="shared" si="44"/>
        <v>1029700</v>
      </c>
      <c r="L174" s="2">
        <f t="shared" si="49"/>
        <v>1419491.7429</v>
      </c>
      <c r="M174" s="2">
        <f t="shared" si="42"/>
        <v>389791.74289999995</v>
      </c>
      <c r="N174" s="16">
        <f t="shared" si="41"/>
        <v>0.37854884228416041</v>
      </c>
      <c r="O174" s="5"/>
      <c r="P174" s="6"/>
      <c r="Q174" s="56"/>
    </row>
    <row r="175" spans="8:32" x14ac:dyDescent="0.25">
      <c r="H175" s="59" t="s">
        <v>247</v>
      </c>
      <c r="I175" s="293">
        <v>1053300</v>
      </c>
      <c r="J175" s="3"/>
      <c r="K175" s="4">
        <f t="shared" si="44"/>
        <v>1052900</v>
      </c>
      <c r="L175" s="2">
        <f t="shared" si="49"/>
        <v>1451442.4813000001</v>
      </c>
      <c r="M175" s="2">
        <f t="shared" si="42"/>
        <v>398542.4813000001</v>
      </c>
      <c r="N175" s="16">
        <f t="shared" si="41"/>
        <v>0.37851883493209243</v>
      </c>
      <c r="O175" s="5"/>
      <c r="P175" s="6"/>
      <c r="Q175" s="56"/>
    </row>
    <row r="176" spans="8:32" x14ac:dyDescent="0.25">
      <c r="H176" s="59" t="s">
        <v>248</v>
      </c>
      <c r="I176" s="293">
        <v>1076500</v>
      </c>
      <c r="J176" s="3"/>
      <c r="K176" s="4">
        <f t="shared" si="44"/>
        <v>1076100</v>
      </c>
      <c r="L176" s="2">
        <f t="shared" si="49"/>
        <v>1483393.2197</v>
      </c>
      <c r="M176" s="2">
        <f t="shared" si="42"/>
        <v>407293.21970000002</v>
      </c>
      <c r="N176" s="16">
        <f t="shared" si="41"/>
        <v>0.37849012145711369</v>
      </c>
      <c r="O176" s="5"/>
      <c r="P176" s="6"/>
      <c r="Q176" s="56"/>
    </row>
    <row r="177" spans="8:17" x14ac:dyDescent="0.25">
      <c r="H177" s="59" t="s">
        <v>249</v>
      </c>
      <c r="I177" s="293">
        <v>1100000</v>
      </c>
      <c r="J177" s="3"/>
      <c r="K177" s="4">
        <f t="shared" si="44"/>
        <v>1099600</v>
      </c>
      <c r="L177" s="2">
        <f t="shared" si="49"/>
        <v>1515757.1142000002</v>
      </c>
      <c r="M177" s="2">
        <f t="shared" si="42"/>
        <v>416157.11420000019</v>
      </c>
      <c r="N177" s="16">
        <f t="shared" si="41"/>
        <v>0.37846227191706094</v>
      </c>
      <c r="O177" s="5"/>
      <c r="P177" s="6"/>
      <c r="Q177" s="56"/>
    </row>
    <row r="178" spans="8:17" x14ac:dyDescent="0.25">
      <c r="H178" s="59" t="s">
        <v>250</v>
      </c>
      <c r="I178" s="293">
        <v>1123000</v>
      </c>
      <c r="J178" s="3"/>
      <c r="K178" s="4">
        <f t="shared" si="44"/>
        <v>1122600</v>
      </c>
      <c r="L178" s="2">
        <f t="shared" si="49"/>
        <v>1547432.4152000002</v>
      </c>
      <c r="M178" s="2">
        <f t="shared" si="42"/>
        <v>424832.41520000016</v>
      </c>
      <c r="N178" s="16">
        <f t="shared" si="41"/>
        <v>0.37843614395154124</v>
      </c>
      <c r="O178" s="5"/>
      <c r="P178" s="6"/>
      <c r="Q178" s="56"/>
    </row>
    <row r="179" spans="8:17" x14ac:dyDescent="0.25">
      <c r="H179" s="59" t="s">
        <v>251</v>
      </c>
      <c r="I179" s="293">
        <v>1146300</v>
      </c>
      <c r="J179" s="3"/>
      <c r="K179" s="4">
        <f t="shared" si="44"/>
        <v>1145900</v>
      </c>
      <c r="L179" s="2">
        <f t="shared" si="49"/>
        <v>1579520.8723000004</v>
      </c>
      <c r="M179" s="2">
        <f t="shared" si="42"/>
        <v>433620.8723000004</v>
      </c>
      <c r="N179" s="16">
        <f t="shared" si="41"/>
        <v>0.3784107446548568</v>
      </c>
      <c r="O179" s="5"/>
      <c r="P179" s="6"/>
      <c r="Q179" s="56"/>
    </row>
    <row r="180" spans="8:17" x14ac:dyDescent="0.25">
      <c r="H180" s="59" t="s">
        <v>252</v>
      </c>
      <c r="I180" s="293">
        <v>1169500</v>
      </c>
      <c r="J180" s="3"/>
      <c r="K180" s="4">
        <f t="shared" si="44"/>
        <v>1169100</v>
      </c>
      <c r="L180" s="2">
        <f t="shared" si="49"/>
        <v>1611471.6107000003</v>
      </c>
      <c r="M180" s="2">
        <f t="shared" si="42"/>
        <v>442371.61070000031</v>
      </c>
      <c r="N180" s="16">
        <f t="shared" si="41"/>
        <v>0.37838646026858291</v>
      </c>
      <c r="O180" s="5"/>
      <c r="P180" s="6"/>
      <c r="Q180" s="56"/>
    </row>
    <row r="181" spans="8:17" x14ac:dyDescent="0.25">
      <c r="H181" s="59" t="s">
        <v>253</v>
      </c>
      <c r="I181" s="293">
        <v>1192900</v>
      </c>
      <c r="J181" s="3"/>
      <c r="K181" s="4">
        <f t="shared" si="44"/>
        <v>1192500</v>
      </c>
      <c r="L181" s="2">
        <f t="shared" si="49"/>
        <v>1643697.7865000004</v>
      </c>
      <c r="M181" s="2">
        <f t="shared" si="42"/>
        <v>451197.78650000039</v>
      </c>
      <c r="N181" s="16">
        <f t="shared" si="41"/>
        <v>0.37836292368972779</v>
      </c>
      <c r="O181" s="5"/>
      <c r="P181" s="6"/>
      <c r="Q181" s="56"/>
    </row>
    <row r="182" spans="8:17" x14ac:dyDescent="0.25">
      <c r="H182" s="59" t="s">
        <v>254</v>
      </c>
      <c r="I182" s="293">
        <v>1215600</v>
      </c>
      <c r="J182" s="3"/>
      <c r="K182" s="4">
        <f t="shared" si="44"/>
        <v>1215200</v>
      </c>
      <c r="L182" s="2">
        <f t="shared" si="49"/>
        <v>1674959.9314000001</v>
      </c>
      <c r="M182" s="2">
        <f t="shared" si="42"/>
        <v>459759.93140000012</v>
      </c>
      <c r="N182" s="16">
        <f t="shared" si="41"/>
        <v>0.378340957373272</v>
      </c>
      <c r="O182" s="5"/>
      <c r="P182" s="6"/>
      <c r="Q182" s="56"/>
    </row>
    <row r="183" spans="8:17" x14ac:dyDescent="0.25">
      <c r="H183" s="59" t="s">
        <v>255</v>
      </c>
      <c r="I183" s="293">
        <v>1238400</v>
      </c>
      <c r="J183" s="3"/>
      <c r="K183" s="4">
        <f t="shared" si="44"/>
        <v>1238000</v>
      </c>
      <c r="L183" s="2">
        <f t="shared" si="49"/>
        <v>1706359.7950000004</v>
      </c>
      <c r="M183" s="2">
        <f t="shared" si="42"/>
        <v>468359.79500000039</v>
      </c>
      <c r="N183" s="16">
        <f t="shared" si="41"/>
        <v>0.37831970516962876</v>
      </c>
      <c r="O183" s="5"/>
      <c r="P183" s="6"/>
      <c r="Q183" s="56"/>
    </row>
    <row r="184" spans="8:17" x14ac:dyDescent="0.25">
      <c r="H184" s="59" t="s">
        <v>256</v>
      </c>
      <c r="I184" s="293">
        <v>1261200</v>
      </c>
      <c r="J184" s="3"/>
      <c r="K184" s="4">
        <f t="shared" si="44"/>
        <v>1260800</v>
      </c>
      <c r="L184" s="2">
        <f t="shared" si="49"/>
        <v>1737759.6586000004</v>
      </c>
      <c r="M184" s="2">
        <f t="shared" si="42"/>
        <v>476959.65860000043</v>
      </c>
      <c r="N184" s="16">
        <f t="shared" si="41"/>
        <v>0.3782992216053303</v>
      </c>
      <c r="O184" s="5"/>
      <c r="P184" s="6"/>
      <c r="Q184" s="56"/>
    </row>
    <row r="185" spans="8:17" x14ac:dyDescent="0.25">
      <c r="H185" s="59" t="s">
        <v>257</v>
      </c>
      <c r="I185" s="293">
        <v>1283000</v>
      </c>
      <c r="J185" s="3"/>
      <c r="K185" s="4">
        <f t="shared" si="44"/>
        <v>1282600</v>
      </c>
      <c r="L185" s="2">
        <f t="shared" si="49"/>
        <v>1767782.3352000003</v>
      </c>
      <c r="M185" s="2">
        <f t="shared" si="42"/>
        <v>485182.33520000032</v>
      </c>
      <c r="N185" s="16">
        <f t="shared" si="41"/>
        <v>0.37828031748011876</v>
      </c>
      <c r="O185" s="5"/>
      <c r="P185" s="6"/>
      <c r="Q185" s="56"/>
    </row>
    <row r="186" spans="8:17" x14ac:dyDescent="0.25">
      <c r="H186" s="59" t="s">
        <v>258</v>
      </c>
      <c r="I186" s="293">
        <v>1304700</v>
      </c>
      <c r="J186" s="3"/>
      <c r="K186" s="4">
        <f t="shared" si="44"/>
        <v>1304300</v>
      </c>
      <c r="L186" s="2">
        <f t="shared" si="49"/>
        <v>1797667.2931000004</v>
      </c>
      <c r="M186" s="2">
        <f t="shared" si="42"/>
        <v>493367.29310000036</v>
      </c>
      <c r="N186" s="16">
        <f t="shared" si="41"/>
        <v>0.37826212765468092</v>
      </c>
      <c r="O186" s="5"/>
      <c r="P186" s="6"/>
      <c r="Q186" s="56"/>
    </row>
    <row r="187" spans="8:17" x14ac:dyDescent="0.25">
      <c r="H187" s="59" t="s">
        <v>277</v>
      </c>
      <c r="I187" s="293">
        <v>1326500</v>
      </c>
      <c r="K187" s="4">
        <f t="shared" si="44"/>
        <v>1326100</v>
      </c>
      <c r="L187" s="2">
        <f t="shared" si="49"/>
        <v>1827689.9697000002</v>
      </c>
      <c r="M187" s="2">
        <f t="shared" si="42"/>
        <v>501589.96970000025</v>
      </c>
      <c r="N187" s="16">
        <f t="shared" si="41"/>
        <v>0.37824445343488444</v>
      </c>
    </row>
  </sheetData>
  <sortState xmlns:xlrd2="http://schemas.microsoft.com/office/spreadsheetml/2017/richdata2" ref="A2:F82">
    <sortCondition ref="A2:A82"/>
  </sortState>
  <mergeCells count="10">
    <mergeCell ref="BC2:BD2"/>
    <mergeCell ref="AP2:AR2"/>
    <mergeCell ref="AT2:AV2"/>
    <mergeCell ref="T3:V3"/>
    <mergeCell ref="W3:Y3"/>
    <mergeCell ref="X36:Z37"/>
    <mergeCell ref="H1:L1"/>
    <mergeCell ref="AC3:AD3"/>
    <mergeCell ref="AE3:AF3"/>
    <mergeCell ref="AB2:AF2"/>
  </mergeCells>
  <pageMargins left="0.7" right="0.7" top="0.75" bottom="0.75" header="0.3" footer="0.3"/>
  <pageSetup orientation="portrait" r:id="rId1"/>
  <legacy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5</vt:i4>
      </vt:variant>
      <vt:variant>
        <vt:lpstr>Named Ranges</vt:lpstr>
      </vt:variant>
      <vt:variant>
        <vt:i4>14</vt:i4>
      </vt:variant>
    </vt:vector>
  </HeadingPairs>
  <TitlesOfParts>
    <vt:vector size="19" baseType="lpstr">
      <vt:lpstr>Veiledning</vt:lpstr>
      <vt:lpstr>1.Budsjettinput</vt:lpstr>
      <vt:lpstr>2. Oppsummering Budsjett</vt:lpstr>
      <vt:lpstr>3. Samspill EVU - RD</vt:lpstr>
      <vt:lpstr>Oppslag</vt:lpstr>
      <vt:lpstr>Aktivitet</vt:lpstr>
      <vt:lpstr>Budsjettenhet</vt:lpstr>
      <vt:lpstr>Drift</vt:lpstr>
      <vt:lpstr>Driftskategori</vt:lpstr>
      <vt:lpstr>Fast_ansatt?</vt:lpstr>
      <vt:lpstr>Fin.kat</vt:lpstr>
      <vt:lpstr>IK_SP</vt:lpstr>
      <vt:lpstr>IK_UT</vt:lpstr>
      <vt:lpstr>'3. Samspill EVU - RD'!Print_Area</vt:lpstr>
      <vt:lpstr>Priskategori</vt:lpstr>
      <vt:lpstr>Still</vt:lpstr>
      <vt:lpstr>Stilling</vt:lpstr>
      <vt:lpstr>Stillingstittel</vt:lpstr>
      <vt:lpstr>Type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2022-02-17T12:48:08Z</dcterms:modified>
</cp:coreProperties>
</file>