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T:\oi\ok\radg\Prosjektstøtte\EVU\Budsjettmal\2024\"/>
    </mc:Choice>
  </mc:AlternateContent>
  <xr:revisionPtr revIDLastSave="0" documentId="13_ncr:1_{3904C092-C177-4D2F-9D17-93B63354C54A}" xr6:coauthVersionLast="47" xr6:coauthVersionMax="47" xr10:uidLastSave="{00000000-0000-0000-0000-000000000000}"/>
  <bookViews>
    <workbookView xWindow="-120" yWindow="-120" windowWidth="51840" windowHeight="21240" tabRatio="890" activeTab="1" xr2:uid="{55B92E31-FC39-422F-B6D6-50D38C9A97EC}"/>
  </bookViews>
  <sheets>
    <sheet name="Versjonsinformasjon" sheetId="16" r:id="rId1"/>
    <sheet name="Prosjektopplysninger" sheetId="5" r:id="rId2"/>
    <sheet name="Kostnadsbudsjett" sheetId="1" r:id="rId3"/>
    <sheet name="Finans.- og beslutningsrapport" sheetId="2" r:id="rId4"/>
    <sheet name="Oppslag-fane" sheetId="3" r:id="rId5"/>
    <sheet name="Lønnstrinn -&gt; Lønnsbånd" sheetId="4" r:id="rId6"/>
    <sheet name="Hjelpeberegn_pers og husleie" sheetId="10" state="hidden" r:id="rId7"/>
  </sheets>
  <externalReferences>
    <externalReference r:id="rId8"/>
  </externalReferences>
  <definedNames>
    <definedName name="Budsjettenhet">[1]Oppslag!$AX$3:$AX$4</definedName>
    <definedName name="Drift">[1]Oppslag!$AY$3:$AY$9</definedName>
    <definedName name="Fast_ansatt?">[1]Oppslag!$BA$3:$BA$4</definedName>
    <definedName name="IKsatser">'Oppslag-fane'!$I$6:$L$240</definedName>
    <definedName name="LstDrift">'Oppslag-fane'!$U$7:$U$17</definedName>
    <definedName name="LstKsted_navn">'Oppslag-fane'!$F$7:$G$507</definedName>
    <definedName name="LstKsteder">'Oppslag-fane'!$F$7:$F$507</definedName>
    <definedName name="LstLband">'Oppslag-fane'!$I$6:$I$240</definedName>
    <definedName name="LstRoller">'Oppslag-fane'!$A$7:$A$14</definedName>
    <definedName name="LstRoller_info">'Oppslag-fane'!$A$7:$D$14</definedName>
    <definedName name="Priskategori">[1]Oppslag!$S$14:$S$27</definedName>
    <definedName name="Rundsum">[1]Oppslag!$BA$8:$BA$10</definedName>
    <definedName name="Stilling">[1]Oppslag!$B$2:$B$82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54" i="1" l="1"/>
  <c r="B25" i="10"/>
  <c r="C25" i="10"/>
  <c r="D25" i="10"/>
  <c r="G25" i="10" s="1"/>
  <c r="E25" i="10"/>
  <c r="B26" i="10"/>
  <c r="C26" i="10"/>
  <c r="D26" i="10"/>
  <c r="E26" i="10"/>
  <c r="G26" i="10"/>
  <c r="H26" i="10"/>
  <c r="I26" i="10" s="1"/>
  <c r="B27" i="10"/>
  <c r="C27" i="10"/>
  <c r="D27" i="10"/>
  <c r="E27" i="10"/>
  <c r="F27" i="10"/>
  <c r="G27" i="10"/>
  <c r="H27" i="10"/>
  <c r="I27" i="10"/>
  <c r="J27" i="10" s="1"/>
  <c r="B28" i="10"/>
  <c r="C28" i="10"/>
  <c r="D28" i="10"/>
  <c r="G28" i="10" s="1"/>
  <c r="E28" i="10"/>
  <c r="F28" i="10"/>
  <c r="H28" i="10"/>
  <c r="I28" i="10" s="1"/>
  <c r="J28" i="10" s="1"/>
  <c r="B29" i="10"/>
  <c r="C29" i="10"/>
  <c r="D29" i="10"/>
  <c r="F29" i="10" s="1"/>
  <c r="E29" i="10"/>
  <c r="H29" i="10"/>
  <c r="I29" i="10"/>
  <c r="J29" i="10" s="1"/>
  <c r="B30" i="10"/>
  <c r="C30" i="10"/>
  <c r="D30" i="10"/>
  <c r="E30" i="10"/>
  <c r="H30" i="10"/>
  <c r="I30" i="10" s="1"/>
  <c r="J30" i="10" s="1"/>
  <c r="B31" i="10"/>
  <c r="C31" i="10"/>
  <c r="D31" i="10"/>
  <c r="F31" i="10" s="1"/>
  <c r="E31" i="10"/>
  <c r="G31" i="10"/>
  <c r="H31" i="10"/>
  <c r="I31" i="10"/>
  <c r="J31" i="10"/>
  <c r="B32" i="10"/>
  <c r="C32" i="10"/>
  <c r="D32" i="10"/>
  <c r="E32" i="10"/>
  <c r="H32" i="10"/>
  <c r="I32" i="10"/>
  <c r="J32" i="10"/>
  <c r="B33" i="10"/>
  <c r="C33" i="10"/>
  <c r="D33" i="10"/>
  <c r="F33" i="10" s="1"/>
  <c r="E33" i="10"/>
  <c r="G33" i="10"/>
  <c r="H33" i="10"/>
  <c r="I33" i="10"/>
  <c r="J33" i="10" s="1"/>
  <c r="B34" i="10"/>
  <c r="C34" i="10"/>
  <c r="D34" i="10"/>
  <c r="E34" i="10"/>
  <c r="G34" i="10"/>
  <c r="H34" i="10"/>
  <c r="I34" i="10" s="1"/>
  <c r="B35" i="10"/>
  <c r="C35" i="10"/>
  <c r="D35" i="10"/>
  <c r="E35" i="10"/>
  <c r="F35" i="10"/>
  <c r="G35" i="10"/>
  <c r="H35" i="10"/>
  <c r="I35" i="10"/>
  <c r="J35" i="10" s="1"/>
  <c r="B36" i="10"/>
  <c r="C36" i="10"/>
  <c r="D36" i="10"/>
  <c r="G36" i="10" s="1"/>
  <c r="E36" i="10"/>
  <c r="F36" i="10"/>
  <c r="H36" i="10"/>
  <c r="I36" i="10" s="1"/>
  <c r="J36" i="10" s="1"/>
  <c r="B37" i="10"/>
  <c r="C37" i="10"/>
  <c r="D37" i="10"/>
  <c r="F37" i="10" s="1"/>
  <c r="E37" i="10"/>
  <c r="H37" i="10"/>
  <c r="I37" i="10"/>
  <c r="J37" i="10" s="1"/>
  <c r="B38" i="10"/>
  <c r="C38" i="10"/>
  <c r="D38" i="10"/>
  <c r="E38" i="10"/>
  <c r="H38" i="10"/>
  <c r="I38" i="10" s="1"/>
  <c r="J38" i="10" s="1"/>
  <c r="N13" i="3"/>
  <c r="N14" i="3" s="1"/>
  <c r="N15" i="3" s="1"/>
  <c r="N16" i="3" s="1"/>
  <c r="N17" i="3" s="1"/>
  <c r="N18" i="3" s="1"/>
  <c r="N19" i="3" s="1"/>
  <c r="N20" i="3" s="1"/>
  <c r="N21" i="3" s="1"/>
  <c r="N22" i="3" s="1"/>
  <c r="N23" i="3" s="1"/>
  <c r="N24" i="3" s="1"/>
  <c r="N25" i="3" s="1"/>
  <c r="N26" i="3" s="1"/>
  <c r="N27" i="3" s="1"/>
  <c r="N28" i="3" s="1"/>
  <c r="N29" i="3" s="1"/>
  <c r="N30" i="3" s="1"/>
  <c r="N31" i="3" s="1"/>
  <c r="N32" i="3" s="1"/>
  <c r="N33" i="3" s="1"/>
  <c r="N34" i="3" s="1"/>
  <c r="AN9" i="3"/>
  <c r="AL9" i="3"/>
  <c r="AJ9" i="3"/>
  <c r="AJ10" i="3" s="1"/>
  <c r="AJ11" i="3" s="1"/>
  <c r="AJ12" i="3" s="1"/>
  <c r="AJ13" i="3" s="1"/>
  <c r="AI13" i="3"/>
  <c r="AK13" i="3" s="1"/>
  <c r="AM13" i="3" s="1"/>
  <c r="AK12" i="3"/>
  <c r="AM12" i="3" s="1"/>
  <c r="AI12" i="3"/>
  <c r="AM11" i="3"/>
  <c r="AK11" i="3"/>
  <c r="AK10" i="3"/>
  <c r="AM10" i="3" s="1"/>
  <c r="F25" i="10" l="1"/>
  <c r="J34" i="10"/>
  <c r="J26" i="10"/>
  <c r="F34" i="10"/>
  <c r="F26" i="10"/>
  <c r="G32" i="10"/>
  <c r="F32" i="10"/>
  <c r="G38" i="10"/>
  <c r="G30" i="10"/>
  <c r="F38" i="10"/>
  <c r="G37" i="10"/>
  <c r="F30" i="10"/>
  <c r="G29" i="10"/>
  <c r="AN10" i="3"/>
  <c r="AN11" i="3" s="1"/>
  <c r="AN12" i="3" s="1"/>
  <c r="AN13" i="3" s="1"/>
  <c r="AI14" i="3"/>
  <c r="AL10" i="3"/>
  <c r="AL11" i="3" s="1"/>
  <c r="AL12" i="3" s="1"/>
  <c r="AL13" i="3" s="1"/>
  <c r="AI15" i="3" l="1"/>
  <c r="AK14" i="3"/>
  <c r="AM14" i="3" s="1"/>
  <c r="AN14" i="3"/>
  <c r="AJ14" i="3"/>
  <c r="AJ15" i="3" s="1"/>
  <c r="AJ16" i="3" l="1"/>
  <c r="AN15" i="3"/>
  <c r="AI16" i="3"/>
  <c r="AK15" i="3"/>
  <c r="AM15" i="3" s="1"/>
  <c r="AL14" i="3"/>
  <c r="AL15" i="3" s="1"/>
  <c r="AJ17" i="3" l="1"/>
  <c r="AK16" i="3"/>
  <c r="AM16" i="3" s="1"/>
  <c r="AN16" i="3" s="1"/>
  <c r="AI17" i="3"/>
  <c r="AN17" i="3" l="1"/>
  <c r="AJ18" i="3"/>
  <c r="AK17" i="3"/>
  <c r="AM17" i="3" s="1"/>
  <c r="AI18" i="3"/>
  <c r="AL16" i="3"/>
  <c r="AL17" i="3" s="1"/>
  <c r="AN18" i="3" l="1"/>
  <c r="AL18" i="3"/>
  <c r="AI19" i="3"/>
  <c r="AK18" i="3"/>
  <c r="AM18" i="3" s="1"/>
  <c r="AI20" i="3" l="1"/>
  <c r="AK19" i="3"/>
  <c r="AM19" i="3" s="1"/>
  <c r="AN19" i="3" s="1"/>
  <c r="AJ19" i="3"/>
  <c r="AK20" i="3" l="1"/>
  <c r="AM20" i="3" s="1"/>
  <c r="AN20" i="3" s="1"/>
  <c r="AI21" i="3"/>
  <c r="AJ20" i="3"/>
  <c r="AJ21" i="3" s="1"/>
  <c r="AL19" i="3"/>
  <c r="AN21" i="3" l="1"/>
  <c r="AL20" i="3"/>
  <c r="AL21" i="3" s="1"/>
  <c r="AK21" i="3"/>
  <c r="AM21" i="3" s="1"/>
  <c r="AI22" i="3"/>
  <c r="AK22" i="3" l="1"/>
  <c r="AM22" i="3" s="1"/>
  <c r="AN22" i="3" s="1"/>
  <c r="AI23" i="3"/>
  <c r="AJ22" i="3"/>
  <c r="AJ23" i="3" s="1"/>
  <c r="AI24" i="3" l="1"/>
  <c r="AK23" i="3"/>
  <c r="AM23" i="3" s="1"/>
  <c r="AN23" i="3" s="1"/>
  <c r="AL22" i="3"/>
  <c r="AL23" i="3" s="1"/>
  <c r="AI25" i="3" l="1"/>
  <c r="AK24" i="3"/>
  <c r="AM24" i="3" s="1"/>
  <c r="AN24" i="3" s="1"/>
  <c r="AJ24" i="3"/>
  <c r="AJ25" i="3" s="1"/>
  <c r="AK25" i="3" l="1"/>
  <c r="AM25" i="3" s="1"/>
  <c r="AN25" i="3" s="1"/>
  <c r="AI26" i="3"/>
  <c r="AL24" i="3"/>
  <c r="AL25" i="3" s="1"/>
  <c r="AI27" i="3" l="1"/>
  <c r="AK26" i="3"/>
  <c r="AM26" i="3" s="1"/>
  <c r="AN26" i="3" s="1"/>
  <c r="AJ26" i="3"/>
  <c r="AJ27" i="3" s="1"/>
  <c r="AI28" i="3" l="1"/>
  <c r="AK27" i="3"/>
  <c r="AM27" i="3" s="1"/>
  <c r="AN27" i="3" s="1"/>
  <c r="AL26" i="3"/>
  <c r="AL27" i="3" s="1"/>
  <c r="AJ28" i="3"/>
  <c r="AN28" i="3" l="1"/>
  <c r="AI29" i="3"/>
  <c r="AK28" i="3"/>
  <c r="AM28" i="3" s="1"/>
  <c r="AL28" i="3" l="1"/>
  <c r="AK29" i="3"/>
  <c r="AM29" i="3" s="1"/>
  <c r="AI30" i="3"/>
  <c r="AK30" i="3" s="1"/>
  <c r="AM30" i="3" s="1"/>
  <c r="AJ29" i="3"/>
  <c r="AJ30" i="3" s="1"/>
  <c r="AN29" i="3"/>
  <c r="AN30" i="3" s="1"/>
  <c r="AL29" i="3" l="1"/>
  <c r="AL30" i="3" s="1"/>
  <c r="Q20" i="3" l="1"/>
  <c r="Q21" i="3" s="1"/>
  <c r="Q22" i="3" s="1"/>
  <c r="Q23" i="3" s="1"/>
  <c r="Q24" i="3" s="1"/>
  <c r="Q25" i="3" s="1"/>
  <c r="Q26" i="3" s="1"/>
  <c r="Q27" i="3" s="1"/>
  <c r="Q28" i="3" s="1"/>
  <c r="Q29" i="3" s="1"/>
  <c r="Q30" i="3" s="1"/>
  <c r="Q31" i="3" s="1"/>
  <c r="Q32" i="3" s="1"/>
  <c r="Q33" i="3" s="1"/>
  <c r="Q34" i="3" s="1"/>
  <c r="M58" i="1" l="1"/>
  <c r="M59" i="1"/>
  <c r="M60" i="1"/>
  <c r="M61" i="1"/>
  <c r="M62" i="1"/>
  <c r="M63" i="1"/>
  <c r="M64" i="1"/>
  <c r="M65" i="1"/>
  <c r="N47" i="1"/>
  <c r="O47" i="1" s="1"/>
  <c r="M47" i="1" s="1"/>
  <c r="J47" i="1"/>
  <c r="C47" i="1"/>
  <c r="B47" i="1"/>
  <c r="N46" i="1"/>
  <c r="J46" i="1"/>
  <c r="C46" i="1"/>
  <c r="B46" i="1"/>
  <c r="N45" i="1"/>
  <c r="O45" i="1" s="1"/>
  <c r="M45" i="1" s="1"/>
  <c r="J45" i="1"/>
  <c r="C45" i="1"/>
  <c r="B45" i="1"/>
  <c r="N44" i="1"/>
  <c r="O44" i="1" s="1"/>
  <c r="M44" i="1" s="1"/>
  <c r="J44" i="1"/>
  <c r="C44" i="1"/>
  <c r="B44" i="1"/>
  <c r="N43" i="1"/>
  <c r="O43" i="1" s="1"/>
  <c r="M43" i="1" s="1"/>
  <c r="J43" i="1"/>
  <c r="C43" i="1"/>
  <c r="B43" i="1"/>
  <c r="N42" i="1"/>
  <c r="J42" i="1"/>
  <c r="C42" i="1"/>
  <c r="B42" i="1"/>
  <c r="M42" i="1" l="1"/>
  <c r="O46" i="1"/>
  <c r="M46" i="1" s="1"/>
  <c r="O42" i="1"/>
  <c r="J53" i="1"/>
  <c r="C46" i="10"/>
  <c r="A53" i="1"/>
  <c r="D53" i="1" s="1"/>
  <c r="D54" i="1"/>
  <c r="G54" i="1" s="1"/>
  <c r="G53" i="1" l="1"/>
  <c r="H53" i="1"/>
  <c r="M53" i="1" s="1"/>
  <c r="B53" i="1"/>
  <c r="B14" i="1"/>
  <c r="H54" i="1"/>
  <c r="C12" i="2"/>
  <c r="H3" i="10" l="1"/>
  <c r="B8" i="2"/>
  <c r="B16" i="2" s="1"/>
  <c r="H18" i="10" l="1"/>
  <c r="I18" i="10" s="1"/>
  <c r="H11" i="10"/>
  <c r="I11" i="10" s="1"/>
  <c r="H6" i="10"/>
  <c r="H8" i="10"/>
  <c r="I8" i="10" s="1"/>
  <c r="H16" i="10"/>
  <c r="I16" i="10" s="1"/>
  <c r="H10" i="10"/>
  <c r="I10" i="10" s="1"/>
  <c r="H14" i="10"/>
  <c r="I14" i="10" s="1"/>
  <c r="H9" i="10"/>
  <c r="I9" i="10" s="1"/>
  <c r="H17" i="10"/>
  <c r="I17" i="10" s="1"/>
  <c r="H7" i="10"/>
  <c r="I7" i="10" s="1"/>
  <c r="H19" i="10"/>
  <c r="I19" i="10" s="1"/>
  <c r="H13" i="10"/>
  <c r="I13" i="10" s="1"/>
  <c r="H12" i="10"/>
  <c r="I12" i="10" s="1"/>
  <c r="H15" i="10"/>
  <c r="I15" i="10" s="1"/>
  <c r="E9" i="10"/>
  <c r="E16" i="10"/>
  <c r="E17" i="10"/>
  <c r="E15" i="10"/>
  <c r="E14" i="10"/>
  <c r="E13" i="10"/>
  <c r="E8" i="10"/>
  <c r="E12" i="10"/>
  <c r="E19" i="10"/>
  <c r="E11" i="10"/>
  <c r="E18" i="10"/>
  <c r="E10" i="10"/>
  <c r="B73" i="1" l="1"/>
  <c r="B72" i="1"/>
  <c r="B71" i="1"/>
  <c r="B70" i="1"/>
  <c r="B69" i="1"/>
  <c r="B68" i="1"/>
  <c r="B67" i="1"/>
  <c r="B66" i="1"/>
  <c r="B57" i="1"/>
  <c r="B56" i="1"/>
  <c r="B55" i="1"/>
  <c r="B54" i="1"/>
  <c r="B41" i="1"/>
  <c r="B40" i="1"/>
  <c r="B39" i="1"/>
  <c r="B38" i="1"/>
  <c r="B22" i="1"/>
  <c r="B23" i="1"/>
  <c r="B24" i="1"/>
  <c r="B25" i="1"/>
  <c r="B26" i="1"/>
  <c r="B27" i="1"/>
  <c r="B28" i="1"/>
  <c r="B29" i="1"/>
  <c r="B30" i="1"/>
  <c r="B31" i="1"/>
  <c r="B32" i="1"/>
  <c r="B33" i="1"/>
  <c r="B19" i="1"/>
  <c r="B20" i="1"/>
  <c r="B21" i="1"/>
  <c r="G12" i="2"/>
  <c r="F12" i="2"/>
  <c r="E12" i="2"/>
  <c r="D12" i="2"/>
  <c r="F13" i="2" l="1"/>
  <c r="G13" i="2"/>
  <c r="D19" i="2" l="1"/>
  <c r="D22" i="2" s="1"/>
  <c r="C67" i="1"/>
  <c r="J67" i="1"/>
  <c r="M67" i="1"/>
  <c r="C68" i="1"/>
  <c r="J68" i="1"/>
  <c r="M68" i="1"/>
  <c r="C69" i="1"/>
  <c r="J69" i="1"/>
  <c r="M69" i="1"/>
  <c r="C70" i="1"/>
  <c r="J70" i="1"/>
  <c r="M70" i="1"/>
  <c r="C71" i="1"/>
  <c r="J71" i="1"/>
  <c r="M71" i="1"/>
  <c r="C72" i="1"/>
  <c r="J72" i="1"/>
  <c r="M72" i="1"/>
  <c r="C73" i="1"/>
  <c r="J73" i="1"/>
  <c r="M73" i="1"/>
  <c r="M55" i="1"/>
  <c r="M56" i="1"/>
  <c r="M57" i="1"/>
  <c r="M66" i="1"/>
  <c r="M54" i="1"/>
  <c r="N39" i="1"/>
  <c r="O39" i="1" s="1"/>
  <c r="N40" i="1"/>
  <c r="O40" i="1"/>
  <c r="N41" i="1"/>
  <c r="N38" i="1"/>
  <c r="O38" i="1" s="1"/>
  <c r="A5" i="10"/>
  <c r="A6" i="10"/>
  <c r="B6" i="10"/>
  <c r="C6" i="10"/>
  <c r="D6" i="10"/>
  <c r="H25" i="10" s="1"/>
  <c r="I25" i="10" s="1"/>
  <c r="J25" i="10" s="1"/>
  <c r="A7" i="10"/>
  <c r="B7" i="10"/>
  <c r="C7" i="10"/>
  <c r="D7" i="10"/>
  <c r="A8" i="10"/>
  <c r="B8" i="10"/>
  <c r="C8" i="10"/>
  <c r="D8" i="10"/>
  <c r="A9" i="10"/>
  <c r="B9" i="10"/>
  <c r="C9" i="10"/>
  <c r="D9" i="10"/>
  <c r="A10" i="10"/>
  <c r="B10" i="10"/>
  <c r="C10" i="10"/>
  <c r="D10" i="10"/>
  <c r="A11" i="10"/>
  <c r="B11" i="10"/>
  <c r="C11" i="10"/>
  <c r="D11" i="10"/>
  <c r="A12" i="10"/>
  <c r="B12" i="10"/>
  <c r="C12" i="10"/>
  <c r="D12" i="10"/>
  <c r="A13" i="10"/>
  <c r="B13" i="10"/>
  <c r="C13" i="10"/>
  <c r="D13" i="10"/>
  <c r="A14" i="10"/>
  <c r="B14" i="10"/>
  <c r="C14" i="10"/>
  <c r="D14" i="10"/>
  <c r="A15" i="10"/>
  <c r="B15" i="10"/>
  <c r="C15" i="10"/>
  <c r="D15" i="10"/>
  <c r="A16" i="10"/>
  <c r="B16" i="10"/>
  <c r="C16" i="10"/>
  <c r="D16" i="10"/>
  <c r="A17" i="10"/>
  <c r="B17" i="10"/>
  <c r="C17" i="10"/>
  <c r="D17" i="10"/>
  <c r="A18" i="10"/>
  <c r="B18" i="10"/>
  <c r="C18" i="10"/>
  <c r="D18" i="10"/>
  <c r="A19" i="10"/>
  <c r="B19" i="10"/>
  <c r="C19" i="10"/>
  <c r="D19" i="10"/>
  <c r="D5" i="10"/>
  <c r="H24" i="10" s="1"/>
  <c r="I24" i="10" s="1"/>
  <c r="E24" i="10"/>
  <c r="D24" i="10"/>
  <c r="G24" i="10" s="1"/>
  <c r="C24" i="10"/>
  <c r="B24" i="10"/>
  <c r="C5" i="10"/>
  <c r="B5" i="10"/>
  <c r="I6" i="10" l="1"/>
  <c r="M74" i="1"/>
  <c r="M40" i="1"/>
  <c r="O41" i="1"/>
  <c r="M41" i="1" s="1"/>
  <c r="N48" i="1"/>
  <c r="M38" i="1"/>
  <c r="F24" i="10"/>
  <c r="E5" i="10" s="1"/>
  <c r="H5" i="10" s="1"/>
  <c r="I5" i="10" s="1"/>
  <c r="M39" i="1"/>
  <c r="O48" i="1" l="1"/>
  <c r="H20" i="10"/>
  <c r="M48" i="1"/>
  <c r="J24" i="10"/>
  <c r="J66" i="1"/>
  <c r="C66" i="1"/>
  <c r="J57" i="1"/>
  <c r="C57" i="1"/>
  <c r="J56" i="1"/>
  <c r="C56" i="1"/>
  <c r="J55" i="1"/>
  <c r="C55" i="1"/>
  <c r="J54" i="1"/>
  <c r="C54" i="1"/>
  <c r="C39" i="1"/>
  <c r="J39" i="1"/>
  <c r="C40" i="1"/>
  <c r="J40" i="1"/>
  <c r="C41" i="1"/>
  <c r="J41" i="1"/>
  <c r="A13" i="1"/>
  <c r="B13" i="1" s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L51" i="1"/>
  <c r="L50" i="1"/>
  <c r="L49" i="1"/>
  <c r="L48" i="1"/>
  <c r="J38" i="1"/>
  <c r="C38" i="1"/>
  <c r="L18" i="1"/>
  <c r="C19" i="1"/>
  <c r="E6" i="10" l="1"/>
  <c r="P31" i="10" s="1"/>
  <c r="E7" i="10"/>
  <c r="C21" i="5"/>
  <c r="C20" i="5"/>
  <c r="B6" i="2" l="1"/>
  <c r="B5" i="2"/>
  <c r="B4" i="2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18" i="5" l="1"/>
  <c r="D13" i="2" s="1"/>
  <c r="C19" i="5"/>
  <c r="E13" i="2" s="1"/>
  <c r="B17" i="2"/>
  <c r="K6" i="3" l="1"/>
  <c r="L6" i="3"/>
  <c r="J6" i="3"/>
  <c r="K21" i="4"/>
  <c r="K22" i="4"/>
  <c r="K20" i="4"/>
  <c r="B3" i="1"/>
  <c r="B4" i="1"/>
  <c r="B5" i="1"/>
  <c r="B6" i="1"/>
  <c r="B7" i="1"/>
  <c r="B2" i="1"/>
  <c r="M23" i="4"/>
  <c r="M21" i="4"/>
  <c r="L18" i="4"/>
  <c r="L21" i="4" s="1"/>
  <c r="I20" i="10" l="1"/>
  <c r="J3" i="10"/>
  <c r="A37" i="10"/>
  <c r="A35" i="10"/>
  <c r="A33" i="10"/>
  <c r="A31" i="10"/>
  <c r="A29" i="10"/>
  <c r="A27" i="10"/>
  <c r="A25" i="10"/>
  <c r="A38" i="10"/>
  <c r="A36" i="10"/>
  <c r="A34" i="10"/>
  <c r="A32" i="10"/>
  <c r="A30" i="10"/>
  <c r="A28" i="10"/>
  <c r="A26" i="10"/>
  <c r="A24" i="10"/>
  <c r="M19" i="4"/>
  <c r="L19" i="4"/>
  <c r="L20" i="4"/>
  <c r="J5" i="10" l="1"/>
  <c r="L13" i="10"/>
  <c r="M13" i="10" s="1"/>
  <c r="L6" i="10"/>
  <c r="M6" i="10" s="1"/>
  <c r="L14" i="10"/>
  <c r="M14" i="10" s="1"/>
  <c r="L7" i="10"/>
  <c r="M7" i="10" s="1"/>
  <c r="L15" i="10"/>
  <c r="M15" i="10" s="1"/>
  <c r="L8" i="10"/>
  <c r="M8" i="10" s="1"/>
  <c r="L17" i="10"/>
  <c r="M17" i="10" s="1"/>
  <c r="L9" i="10"/>
  <c r="M9" i="10" s="1"/>
  <c r="L16" i="10"/>
  <c r="M16" i="10" s="1"/>
  <c r="L10" i="10"/>
  <c r="M10" i="10" s="1"/>
  <c r="L18" i="10"/>
  <c r="M18" i="10" s="1"/>
  <c r="L11" i="10"/>
  <c r="M11" i="10" s="1"/>
  <c r="L19" i="10"/>
  <c r="M19" i="10" s="1"/>
  <c r="L12" i="10"/>
  <c r="M12" i="10" s="1"/>
  <c r="L5" i="10"/>
  <c r="J18" i="10"/>
  <c r="J13" i="10"/>
  <c r="J11" i="10"/>
  <c r="J14" i="10"/>
  <c r="J16" i="10"/>
  <c r="J15" i="10"/>
  <c r="J19" i="10"/>
  <c r="J17" i="10"/>
  <c r="J9" i="10"/>
  <c r="J8" i="10"/>
  <c r="J10" i="10"/>
  <c r="J12" i="10"/>
  <c r="J7" i="10"/>
  <c r="J6" i="10"/>
  <c r="L3" i="10"/>
  <c r="L23" i="4"/>
  <c r="M20" i="4"/>
  <c r="M22" i="4" s="1"/>
  <c r="M25" i="4" s="1"/>
  <c r="M27" i="4" s="1"/>
  <c r="L22" i="4"/>
  <c r="L25" i="4" s="1"/>
  <c r="L27" i="4" s="1"/>
  <c r="F19" i="10" l="1"/>
  <c r="K19" i="10"/>
  <c r="G19" i="10" s="1"/>
  <c r="K7" i="10"/>
  <c r="G7" i="10" s="1"/>
  <c r="F7" i="10"/>
  <c r="K17" i="10"/>
  <c r="G17" i="10" s="1"/>
  <c r="F17" i="10"/>
  <c r="K16" i="10"/>
  <c r="G16" i="10" s="1"/>
  <c r="F16" i="10"/>
  <c r="K12" i="10"/>
  <c r="G12" i="10" s="1"/>
  <c r="F12" i="10"/>
  <c r="K11" i="10"/>
  <c r="G11" i="10" s="1"/>
  <c r="F11" i="10"/>
  <c r="F6" i="10"/>
  <c r="K6" i="10"/>
  <c r="G6" i="10" s="1"/>
  <c r="K14" i="10"/>
  <c r="G14" i="10" s="1"/>
  <c r="O28" i="1" s="1"/>
  <c r="F14" i="10"/>
  <c r="K15" i="10"/>
  <c r="G15" i="10" s="1"/>
  <c r="F15" i="10"/>
  <c r="K10" i="10"/>
  <c r="G10" i="10" s="1"/>
  <c r="F10" i="10"/>
  <c r="K8" i="10"/>
  <c r="G8" i="10" s="1"/>
  <c r="F8" i="10"/>
  <c r="K13" i="10"/>
  <c r="G13" i="10" s="1"/>
  <c r="O27" i="1" s="1"/>
  <c r="F13" i="10"/>
  <c r="K9" i="10"/>
  <c r="G9" i="10" s="1"/>
  <c r="F9" i="10"/>
  <c r="K18" i="10"/>
  <c r="G18" i="10" s="1"/>
  <c r="O32" i="1" s="1"/>
  <c r="F18" i="10"/>
  <c r="O22" i="1"/>
  <c r="N27" i="1"/>
  <c r="N33" i="1"/>
  <c r="N32" i="1"/>
  <c r="O26" i="1"/>
  <c r="N26" i="1"/>
  <c r="O23" i="1"/>
  <c r="N23" i="1"/>
  <c r="N21" i="1"/>
  <c r="O21" i="1"/>
  <c r="N28" i="1"/>
  <c r="O25" i="1"/>
  <c r="K5" i="10"/>
  <c r="F5" i="10"/>
  <c r="J20" i="10"/>
  <c r="O31" i="1"/>
  <c r="N31" i="1"/>
  <c r="O29" i="1"/>
  <c r="M5" i="10"/>
  <c r="M20" i="10" s="1"/>
  <c r="L20" i="10"/>
  <c r="O24" i="1"/>
  <c r="N30" i="1"/>
  <c r="N25" i="1"/>
  <c r="M31" i="1" l="1"/>
  <c r="M25" i="1"/>
  <c r="G5" i="10"/>
  <c r="K20" i="10"/>
  <c r="O20" i="1"/>
  <c r="D25" i="2" s="1"/>
  <c r="N20" i="1"/>
  <c r="D26" i="2" s="1"/>
  <c r="M27" i="1"/>
  <c r="N24" i="1"/>
  <c r="M24" i="1" s="1"/>
  <c r="N29" i="1"/>
  <c r="M29" i="1" s="1"/>
  <c r="N22" i="1"/>
  <c r="O33" i="1"/>
  <c r="M33" i="1" s="1"/>
  <c r="O30" i="1"/>
  <c r="M32" i="1"/>
  <c r="M26" i="1"/>
  <c r="M23" i="1"/>
  <c r="M21" i="1"/>
  <c r="M28" i="1"/>
  <c r="M20" i="1" l="1"/>
  <c r="D15" i="2" s="1"/>
  <c r="M30" i="1"/>
  <c r="M22" i="1"/>
  <c r="D16" i="2" l="1"/>
  <c r="D18" i="2"/>
  <c r="L7" i="4"/>
  <c r="L8" i="4"/>
  <c r="L9" i="4"/>
  <c r="C17" i="5"/>
  <c r="C13" i="2" s="1"/>
  <c r="F14" i="1" l="1"/>
  <c r="F13" i="1"/>
  <c r="L10" i="4"/>
  <c r="L12" i="4" s="1"/>
  <c r="L14" i="4" s="1"/>
  <c r="I7" i="3" l="1"/>
  <c r="D88" i="4"/>
  <c r="E88" i="4" s="1"/>
  <c r="D87" i="4"/>
  <c r="E87" i="4" s="1"/>
  <c r="D46" i="4"/>
  <c r="E46" i="4" s="1"/>
  <c r="D86" i="4"/>
  <c r="E86" i="4" s="1"/>
  <c r="D45" i="4"/>
  <c r="E45" i="4" s="1"/>
  <c r="D85" i="4"/>
  <c r="E85" i="4" s="1"/>
  <c r="D44" i="4"/>
  <c r="E44" i="4" s="1"/>
  <c r="D84" i="4"/>
  <c r="E84" i="4" s="1"/>
  <c r="D43" i="4"/>
  <c r="E43" i="4" s="1"/>
  <c r="D83" i="4"/>
  <c r="E83" i="4" s="1"/>
  <c r="D42" i="4"/>
  <c r="E42" i="4" s="1"/>
  <c r="D82" i="4"/>
  <c r="E82" i="4" s="1"/>
  <c r="D41" i="4"/>
  <c r="E41" i="4" s="1"/>
  <c r="D81" i="4"/>
  <c r="E81" i="4" s="1"/>
  <c r="D40" i="4"/>
  <c r="E40" i="4" s="1"/>
  <c r="D80" i="4"/>
  <c r="E80" i="4" s="1"/>
  <c r="D39" i="4"/>
  <c r="E39" i="4" s="1"/>
  <c r="D79" i="4"/>
  <c r="E79" i="4" s="1"/>
  <c r="D38" i="4"/>
  <c r="E38" i="4" s="1"/>
  <c r="D78" i="4"/>
  <c r="E78" i="4" s="1"/>
  <c r="D37" i="4"/>
  <c r="E37" i="4" s="1"/>
  <c r="D77" i="4"/>
  <c r="E77" i="4" s="1"/>
  <c r="D36" i="4"/>
  <c r="E36" i="4" s="1"/>
  <c r="D76" i="4"/>
  <c r="E76" i="4" s="1"/>
  <c r="D35" i="4"/>
  <c r="E35" i="4" s="1"/>
  <c r="D75" i="4"/>
  <c r="E75" i="4" s="1"/>
  <c r="D34" i="4"/>
  <c r="E34" i="4" s="1"/>
  <c r="D74" i="4"/>
  <c r="E74" i="4" s="1"/>
  <c r="D33" i="4"/>
  <c r="E33" i="4" s="1"/>
  <c r="D73" i="4"/>
  <c r="E73" i="4" s="1"/>
  <c r="D32" i="4"/>
  <c r="E32" i="4" s="1"/>
  <c r="D72" i="4"/>
  <c r="E72" i="4" s="1"/>
  <c r="D31" i="4"/>
  <c r="E31" i="4" s="1"/>
  <c r="D71" i="4"/>
  <c r="E71" i="4" s="1"/>
  <c r="D30" i="4"/>
  <c r="E30" i="4" s="1"/>
  <c r="D70" i="4"/>
  <c r="E70" i="4" s="1"/>
  <c r="D29" i="4"/>
  <c r="E29" i="4" s="1"/>
  <c r="D69" i="4"/>
  <c r="E69" i="4" s="1"/>
  <c r="D28" i="4"/>
  <c r="E28" i="4" s="1"/>
  <c r="D68" i="4"/>
  <c r="E68" i="4" s="1"/>
  <c r="D27" i="4"/>
  <c r="E27" i="4" s="1"/>
  <c r="D67" i="4"/>
  <c r="E67" i="4" s="1"/>
  <c r="D26" i="4"/>
  <c r="E26" i="4" s="1"/>
  <c r="D66" i="4"/>
  <c r="E66" i="4" s="1"/>
  <c r="D25" i="4"/>
  <c r="E25" i="4" s="1"/>
  <c r="D65" i="4"/>
  <c r="E65" i="4" s="1"/>
  <c r="D24" i="4"/>
  <c r="E24" i="4" s="1"/>
  <c r="D64" i="4"/>
  <c r="E64" i="4" s="1"/>
  <c r="D23" i="4"/>
  <c r="E23" i="4" s="1"/>
  <c r="D63" i="4"/>
  <c r="E63" i="4" s="1"/>
  <c r="D22" i="4"/>
  <c r="E22" i="4" s="1"/>
  <c r="D62" i="4"/>
  <c r="E62" i="4" s="1"/>
  <c r="D21" i="4"/>
  <c r="E21" i="4" s="1"/>
  <c r="D61" i="4"/>
  <c r="E61" i="4" s="1"/>
  <c r="D20" i="4"/>
  <c r="E20" i="4" s="1"/>
  <c r="D60" i="4"/>
  <c r="E60" i="4" s="1"/>
  <c r="D19" i="4"/>
  <c r="E19" i="4" s="1"/>
  <c r="D59" i="4"/>
  <c r="E59" i="4" s="1"/>
  <c r="D18" i="4"/>
  <c r="E18" i="4" s="1"/>
  <c r="D58" i="4"/>
  <c r="E58" i="4" s="1"/>
  <c r="D17" i="4"/>
  <c r="E17" i="4" s="1"/>
  <c r="D57" i="4"/>
  <c r="E57" i="4" s="1"/>
  <c r="D16" i="4"/>
  <c r="E16" i="4" s="1"/>
  <c r="D56" i="4"/>
  <c r="E56" i="4" s="1"/>
  <c r="D15" i="4"/>
  <c r="E15" i="4" s="1"/>
  <c r="D55" i="4"/>
  <c r="E55" i="4" s="1"/>
  <c r="D14" i="4"/>
  <c r="E14" i="4" s="1"/>
  <c r="D54" i="4"/>
  <c r="E54" i="4" s="1"/>
  <c r="D13" i="4"/>
  <c r="E13" i="4" s="1"/>
  <c r="D53" i="4"/>
  <c r="E53" i="4" s="1"/>
  <c r="D12" i="4"/>
  <c r="E12" i="4" s="1"/>
  <c r="D52" i="4"/>
  <c r="E52" i="4" s="1"/>
  <c r="D11" i="4"/>
  <c r="E11" i="4" s="1"/>
  <c r="D51" i="4"/>
  <c r="E51" i="4" s="1"/>
  <c r="D10" i="4"/>
  <c r="E10" i="4" s="1"/>
  <c r="D50" i="4"/>
  <c r="E50" i="4" s="1"/>
  <c r="D9" i="4"/>
  <c r="E9" i="4" s="1"/>
  <c r="D49" i="4"/>
  <c r="E49" i="4" s="1"/>
  <c r="D8" i="4"/>
  <c r="E8" i="4" s="1"/>
  <c r="D48" i="4"/>
  <c r="E48" i="4" s="1"/>
  <c r="D7" i="4"/>
  <c r="E7" i="4" s="1"/>
  <c r="D47" i="4"/>
  <c r="E47" i="4" s="1"/>
  <c r="D6" i="4"/>
  <c r="E6" i="4" s="1"/>
  <c r="B27" i="2"/>
  <c r="H28" i="4" l="1"/>
  <c r="F28" i="4"/>
  <c r="G28" i="4"/>
  <c r="H57" i="4"/>
  <c r="G57" i="4"/>
  <c r="F57" i="4"/>
  <c r="H81" i="4"/>
  <c r="F81" i="4"/>
  <c r="G81" i="4"/>
  <c r="F13" i="4"/>
  <c r="G13" i="4"/>
  <c r="H13" i="4"/>
  <c r="G17" i="4"/>
  <c r="H17" i="4"/>
  <c r="F17" i="4"/>
  <c r="F21" i="4"/>
  <c r="G21" i="4"/>
  <c r="H21" i="4"/>
  <c r="H25" i="4"/>
  <c r="G25" i="4"/>
  <c r="F25" i="4"/>
  <c r="F29" i="4"/>
  <c r="G29" i="4"/>
  <c r="H29" i="4"/>
  <c r="G33" i="4"/>
  <c r="H33" i="4"/>
  <c r="F33" i="4"/>
  <c r="F37" i="4"/>
  <c r="G37" i="4"/>
  <c r="H37" i="4"/>
  <c r="H41" i="4"/>
  <c r="G41" i="4"/>
  <c r="F41" i="4"/>
  <c r="F45" i="4"/>
  <c r="G45" i="4"/>
  <c r="H45" i="4"/>
  <c r="H12" i="4"/>
  <c r="F12" i="4"/>
  <c r="G12" i="4"/>
  <c r="F32" i="4"/>
  <c r="G32" i="4"/>
  <c r="H32" i="4"/>
  <c r="F53" i="4"/>
  <c r="G53" i="4"/>
  <c r="H53" i="4"/>
  <c r="G73" i="4"/>
  <c r="F73" i="4"/>
  <c r="H73" i="4"/>
  <c r="H9" i="4"/>
  <c r="G9" i="4"/>
  <c r="F9" i="4"/>
  <c r="F50" i="4"/>
  <c r="G50" i="4"/>
  <c r="H50" i="4"/>
  <c r="H54" i="4"/>
  <c r="F54" i="4"/>
  <c r="G54" i="4"/>
  <c r="F58" i="4"/>
  <c r="G58" i="4"/>
  <c r="H58" i="4"/>
  <c r="F62" i="4"/>
  <c r="G62" i="4"/>
  <c r="H62" i="4"/>
  <c r="F66" i="4"/>
  <c r="G66" i="4"/>
  <c r="H66" i="4"/>
  <c r="H70" i="4"/>
  <c r="F70" i="4"/>
  <c r="G70" i="4"/>
  <c r="F74" i="4"/>
  <c r="G74" i="4"/>
  <c r="H74" i="4"/>
  <c r="F78" i="4"/>
  <c r="H78" i="4"/>
  <c r="G78" i="4"/>
  <c r="F82" i="4"/>
  <c r="G82" i="4"/>
  <c r="H82" i="4"/>
  <c r="H86" i="4"/>
  <c r="F86" i="4"/>
  <c r="G86" i="4"/>
  <c r="F24" i="4"/>
  <c r="G24" i="4"/>
  <c r="H24" i="4"/>
  <c r="G49" i="4"/>
  <c r="H49" i="4"/>
  <c r="F49" i="4"/>
  <c r="F77" i="4"/>
  <c r="G77" i="4"/>
  <c r="H77" i="4"/>
  <c r="F10" i="4"/>
  <c r="G10" i="4"/>
  <c r="H10" i="4"/>
  <c r="F14" i="4"/>
  <c r="H14" i="4"/>
  <c r="G14" i="4"/>
  <c r="F18" i="4"/>
  <c r="G18" i="4"/>
  <c r="H18" i="4"/>
  <c r="F22" i="4"/>
  <c r="G22" i="4"/>
  <c r="H22" i="4"/>
  <c r="F26" i="4"/>
  <c r="G26" i="4"/>
  <c r="H26" i="4"/>
  <c r="F30" i="4"/>
  <c r="H30" i="4"/>
  <c r="G30" i="4"/>
  <c r="F34" i="4"/>
  <c r="G34" i="4"/>
  <c r="H34" i="4"/>
  <c r="H38" i="4"/>
  <c r="F38" i="4"/>
  <c r="G38" i="4"/>
  <c r="F42" i="4"/>
  <c r="G42" i="4"/>
  <c r="H42" i="4"/>
  <c r="F46" i="4"/>
  <c r="H46" i="4"/>
  <c r="G46" i="4"/>
  <c r="F8" i="4"/>
  <c r="G8" i="4"/>
  <c r="H8" i="4"/>
  <c r="H36" i="4"/>
  <c r="F36" i="4"/>
  <c r="G36" i="4"/>
  <c r="F61" i="4"/>
  <c r="G61" i="4"/>
  <c r="H61" i="4"/>
  <c r="F69" i="4"/>
  <c r="G69" i="4"/>
  <c r="H69" i="4"/>
  <c r="G47" i="4"/>
  <c r="H47" i="4"/>
  <c r="F47" i="4"/>
  <c r="F51" i="4"/>
  <c r="G51" i="4"/>
  <c r="H51" i="4"/>
  <c r="G55" i="4"/>
  <c r="H55" i="4"/>
  <c r="F55" i="4"/>
  <c r="F59" i="4"/>
  <c r="G59" i="4"/>
  <c r="H59" i="4"/>
  <c r="G63" i="4"/>
  <c r="H63" i="4"/>
  <c r="F63" i="4"/>
  <c r="F67" i="4"/>
  <c r="G67" i="4"/>
  <c r="H67" i="4"/>
  <c r="G71" i="4"/>
  <c r="F71" i="4"/>
  <c r="H71" i="4"/>
  <c r="F75" i="4"/>
  <c r="G75" i="4"/>
  <c r="H75" i="4"/>
  <c r="G79" i="4"/>
  <c r="H79" i="4"/>
  <c r="F79" i="4"/>
  <c r="F83" i="4"/>
  <c r="G83" i="4"/>
  <c r="H83" i="4"/>
  <c r="G87" i="4"/>
  <c r="F87" i="4"/>
  <c r="H87" i="4"/>
  <c r="F16" i="4"/>
  <c r="G16" i="4"/>
  <c r="H16" i="4"/>
  <c r="F40" i="4"/>
  <c r="G40" i="4"/>
  <c r="H40" i="4"/>
  <c r="F85" i="4"/>
  <c r="G85" i="4"/>
  <c r="H85" i="4"/>
  <c r="G7" i="4"/>
  <c r="H7" i="4"/>
  <c r="F7" i="4"/>
  <c r="G15" i="4"/>
  <c r="H15" i="4"/>
  <c r="F15" i="4"/>
  <c r="F19" i="4"/>
  <c r="G19" i="4"/>
  <c r="H19" i="4"/>
  <c r="G23" i="4"/>
  <c r="H23" i="4"/>
  <c r="F23" i="4"/>
  <c r="F27" i="4"/>
  <c r="G27" i="4"/>
  <c r="H27" i="4"/>
  <c r="G31" i="4"/>
  <c r="H31" i="4"/>
  <c r="F31" i="4"/>
  <c r="F35" i="4"/>
  <c r="G35" i="4"/>
  <c r="H35" i="4"/>
  <c r="G39" i="4"/>
  <c r="H39" i="4"/>
  <c r="F39" i="4"/>
  <c r="F43" i="4"/>
  <c r="G43" i="4"/>
  <c r="H43" i="4"/>
  <c r="F88" i="4"/>
  <c r="G88" i="4"/>
  <c r="H88" i="4"/>
  <c r="H20" i="4"/>
  <c r="F20" i="4"/>
  <c r="G20" i="4"/>
  <c r="H44" i="4"/>
  <c r="G44" i="4"/>
  <c r="F44" i="4"/>
  <c r="H65" i="4"/>
  <c r="G65" i="4"/>
  <c r="F65" i="4"/>
  <c r="H6" i="4"/>
  <c r="G6" i="4"/>
  <c r="F6" i="4"/>
  <c r="F11" i="4"/>
  <c r="G11" i="4"/>
  <c r="H11" i="4"/>
  <c r="F48" i="4"/>
  <c r="G48" i="4"/>
  <c r="H48" i="4"/>
  <c r="H52" i="4"/>
  <c r="F52" i="4"/>
  <c r="G52" i="4"/>
  <c r="F56" i="4"/>
  <c r="G56" i="4"/>
  <c r="H56" i="4"/>
  <c r="H60" i="4"/>
  <c r="F60" i="4"/>
  <c r="G60" i="4"/>
  <c r="F64" i="4"/>
  <c r="G64" i="4"/>
  <c r="H64" i="4"/>
  <c r="H68" i="4"/>
  <c r="F68" i="4"/>
  <c r="G68" i="4"/>
  <c r="F72" i="4"/>
  <c r="G72" i="4"/>
  <c r="H72" i="4"/>
  <c r="H76" i="4"/>
  <c r="F76" i="4"/>
  <c r="G76" i="4"/>
  <c r="F80" i="4"/>
  <c r="G80" i="4"/>
  <c r="H80" i="4"/>
  <c r="H84" i="4"/>
  <c r="F84" i="4"/>
  <c r="G84" i="4"/>
  <c r="I8" i="3"/>
  <c r="J7" i="3"/>
  <c r="K7" i="3"/>
  <c r="L7" i="3"/>
  <c r="I9" i="3" l="1"/>
  <c r="L8" i="3"/>
  <c r="J8" i="3"/>
  <c r="K8" i="3"/>
  <c r="I10" i="3" l="1"/>
  <c r="L9" i="3"/>
  <c r="J9" i="3"/>
  <c r="K9" i="3"/>
  <c r="I11" i="3" l="1"/>
  <c r="L10" i="3"/>
  <c r="J10" i="3"/>
  <c r="K10" i="3"/>
  <c r="I12" i="3" l="1"/>
  <c r="K11" i="3"/>
  <c r="J11" i="3"/>
  <c r="L11" i="3"/>
  <c r="I13" i="3" l="1"/>
  <c r="J12" i="3"/>
  <c r="K12" i="3"/>
  <c r="L12" i="3"/>
  <c r="I14" i="3" l="1"/>
  <c r="K13" i="3"/>
  <c r="J13" i="3"/>
  <c r="L13" i="3"/>
  <c r="I15" i="3" l="1"/>
  <c r="J14" i="3"/>
  <c r="K14" i="3"/>
  <c r="L14" i="3"/>
  <c r="I16" i="3" l="1"/>
  <c r="J15" i="3"/>
  <c r="K15" i="3"/>
  <c r="L15" i="3"/>
  <c r="I17" i="3" l="1"/>
  <c r="L16" i="3"/>
  <c r="J16" i="3"/>
  <c r="K16" i="3"/>
  <c r="I18" i="3" l="1"/>
  <c r="J17" i="3"/>
  <c r="K17" i="3"/>
  <c r="L17" i="3"/>
  <c r="I19" i="3" l="1"/>
  <c r="L18" i="3"/>
  <c r="J18" i="3"/>
  <c r="K18" i="3"/>
  <c r="I20" i="3" l="1"/>
  <c r="K19" i="3"/>
  <c r="J19" i="3"/>
  <c r="L19" i="3"/>
  <c r="I21" i="3" l="1"/>
  <c r="K20" i="3"/>
  <c r="L20" i="3"/>
  <c r="J20" i="3"/>
  <c r="I22" i="3" l="1"/>
  <c r="K21" i="3"/>
  <c r="J21" i="3"/>
  <c r="L21" i="3"/>
  <c r="I23" i="3" l="1"/>
  <c r="J22" i="3"/>
  <c r="K22" i="3"/>
  <c r="L22" i="3"/>
  <c r="I24" i="3" l="1"/>
  <c r="L23" i="3"/>
  <c r="J23" i="3"/>
  <c r="K23" i="3"/>
  <c r="I25" i="3" l="1"/>
  <c r="L24" i="3"/>
  <c r="J24" i="3"/>
  <c r="K24" i="3"/>
  <c r="I26" i="3" l="1"/>
  <c r="J25" i="3"/>
  <c r="K25" i="3"/>
  <c r="L25" i="3"/>
  <c r="I27" i="3" l="1"/>
  <c r="L26" i="3"/>
  <c r="J26" i="3"/>
  <c r="K26" i="3"/>
  <c r="I28" i="3" l="1"/>
  <c r="K27" i="3"/>
  <c r="L27" i="3"/>
  <c r="J27" i="3"/>
  <c r="I29" i="3" l="1"/>
  <c r="J28" i="3"/>
  <c r="K28" i="3"/>
  <c r="L28" i="3"/>
  <c r="I30" i="3" l="1"/>
  <c r="K29" i="3"/>
  <c r="J29" i="3"/>
  <c r="L29" i="3"/>
  <c r="I31" i="3" l="1"/>
  <c r="J30" i="3"/>
  <c r="K30" i="3"/>
  <c r="L30" i="3"/>
  <c r="I32" i="3" l="1"/>
  <c r="J31" i="3"/>
  <c r="K31" i="3"/>
  <c r="L31" i="3"/>
  <c r="I33" i="3" l="1"/>
  <c r="L32" i="3"/>
  <c r="J32" i="3"/>
  <c r="K32" i="3"/>
  <c r="I34" i="3" l="1"/>
  <c r="J33" i="3"/>
  <c r="K33" i="3"/>
  <c r="L33" i="3"/>
  <c r="I35" i="3" l="1"/>
  <c r="L34" i="3"/>
  <c r="K34" i="3"/>
  <c r="J34" i="3"/>
  <c r="I36" i="3" l="1"/>
  <c r="K35" i="3"/>
  <c r="J35" i="3"/>
  <c r="L35" i="3"/>
  <c r="I37" i="3" l="1"/>
  <c r="J36" i="3"/>
  <c r="K36" i="3"/>
  <c r="L36" i="3"/>
  <c r="I38" i="3" l="1"/>
  <c r="K37" i="3"/>
  <c r="J37" i="3"/>
  <c r="L37" i="3"/>
  <c r="I39" i="3" l="1"/>
  <c r="J38" i="3"/>
  <c r="K38" i="3"/>
  <c r="L38" i="3"/>
  <c r="I40" i="3" l="1"/>
  <c r="J39" i="3"/>
  <c r="K39" i="3"/>
  <c r="L39" i="3"/>
  <c r="I41" i="3" l="1"/>
  <c r="L40" i="3"/>
  <c r="J40" i="3"/>
  <c r="K40" i="3"/>
  <c r="I42" i="3" l="1"/>
  <c r="L41" i="3"/>
  <c r="J41" i="3"/>
  <c r="K41" i="3"/>
  <c r="I43" i="3" l="1"/>
  <c r="L42" i="3"/>
  <c r="J42" i="3"/>
  <c r="K42" i="3"/>
  <c r="I44" i="3" l="1"/>
  <c r="K43" i="3"/>
  <c r="J43" i="3"/>
  <c r="L43" i="3"/>
  <c r="I45" i="3" l="1"/>
  <c r="J44" i="3"/>
  <c r="K44" i="3"/>
  <c r="L44" i="3"/>
  <c r="I46" i="3" l="1"/>
  <c r="K45" i="3"/>
  <c r="J45" i="3"/>
  <c r="L45" i="3"/>
  <c r="I47" i="3" l="1"/>
  <c r="J46" i="3"/>
  <c r="K46" i="3"/>
  <c r="L46" i="3"/>
  <c r="I48" i="3" l="1"/>
  <c r="J47" i="3"/>
  <c r="K47" i="3"/>
  <c r="L47" i="3"/>
  <c r="I49" i="3" l="1"/>
  <c r="L48" i="3"/>
  <c r="J48" i="3"/>
  <c r="K48" i="3"/>
  <c r="I50" i="3" l="1"/>
  <c r="J49" i="3"/>
  <c r="K49" i="3"/>
  <c r="L49" i="3"/>
  <c r="I51" i="3" l="1"/>
  <c r="L50" i="3"/>
  <c r="J50" i="3"/>
  <c r="K50" i="3"/>
  <c r="I52" i="3" l="1"/>
  <c r="K51" i="3"/>
  <c r="J51" i="3"/>
  <c r="L51" i="3"/>
  <c r="I53" i="3" l="1"/>
  <c r="K52" i="3"/>
  <c r="L52" i="3"/>
  <c r="J52" i="3"/>
  <c r="I54" i="3" l="1"/>
  <c r="K53" i="3"/>
  <c r="J53" i="3"/>
  <c r="L53" i="3"/>
  <c r="I55" i="3" l="1"/>
  <c r="J54" i="3"/>
  <c r="K54" i="3"/>
  <c r="L54" i="3"/>
  <c r="I56" i="3" l="1"/>
  <c r="L55" i="3"/>
  <c r="J55" i="3"/>
  <c r="K55" i="3"/>
  <c r="I57" i="3" l="1"/>
  <c r="L56" i="3"/>
  <c r="J56" i="3"/>
  <c r="K56" i="3"/>
  <c r="I58" i="3" l="1"/>
  <c r="J57" i="3"/>
  <c r="K57" i="3"/>
  <c r="L57" i="3"/>
  <c r="I59" i="3" l="1"/>
  <c r="L58" i="3"/>
  <c r="J58" i="3"/>
  <c r="K58" i="3"/>
  <c r="I60" i="3" l="1"/>
  <c r="K59" i="3"/>
  <c r="L59" i="3"/>
  <c r="J59" i="3"/>
  <c r="I61" i="3" l="1"/>
  <c r="J60" i="3"/>
  <c r="K60" i="3"/>
  <c r="L60" i="3"/>
  <c r="I62" i="3" l="1"/>
  <c r="K61" i="3"/>
  <c r="J61" i="3"/>
  <c r="L61" i="3"/>
  <c r="I63" i="3" l="1"/>
  <c r="J62" i="3"/>
  <c r="K62" i="3"/>
  <c r="L62" i="3"/>
  <c r="I64" i="3" l="1"/>
  <c r="J63" i="3"/>
  <c r="K63" i="3"/>
  <c r="L63" i="3"/>
  <c r="I65" i="3" l="1"/>
  <c r="L64" i="3"/>
  <c r="J64" i="3"/>
  <c r="K64" i="3"/>
  <c r="I66" i="3" l="1"/>
  <c r="J65" i="3"/>
  <c r="K65" i="3"/>
  <c r="L65" i="3"/>
  <c r="I67" i="3" l="1"/>
  <c r="L66" i="3"/>
  <c r="K66" i="3"/>
  <c r="J66" i="3"/>
  <c r="I68" i="3" l="1"/>
  <c r="K67" i="3"/>
  <c r="J67" i="3"/>
  <c r="L67" i="3"/>
  <c r="I69" i="3" l="1"/>
  <c r="J68" i="3"/>
  <c r="K68" i="3"/>
  <c r="L68" i="3"/>
  <c r="I70" i="3" l="1"/>
  <c r="K69" i="3"/>
  <c r="J69" i="3"/>
  <c r="L69" i="3"/>
  <c r="I71" i="3" l="1"/>
  <c r="J70" i="3"/>
  <c r="K70" i="3"/>
  <c r="L70" i="3"/>
  <c r="I72" i="3" l="1"/>
  <c r="J71" i="3"/>
  <c r="K71" i="3"/>
  <c r="L71" i="3"/>
  <c r="I73" i="3" l="1"/>
  <c r="L72" i="3"/>
  <c r="J72" i="3"/>
  <c r="K72" i="3"/>
  <c r="I74" i="3" l="1"/>
  <c r="L73" i="3"/>
  <c r="J73" i="3"/>
  <c r="K73" i="3"/>
  <c r="I75" i="3" l="1"/>
  <c r="L74" i="3"/>
  <c r="J74" i="3"/>
  <c r="K74" i="3"/>
  <c r="I76" i="3" l="1"/>
  <c r="K75" i="3"/>
  <c r="J75" i="3"/>
  <c r="L75" i="3"/>
  <c r="I77" i="3" l="1"/>
  <c r="J76" i="3"/>
  <c r="K76" i="3"/>
  <c r="L76" i="3"/>
  <c r="I78" i="3" l="1"/>
  <c r="K77" i="3"/>
  <c r="J77" i="3"/>
  <c r="L77" i="3"/>
  <c r="I79" i="3" l="1"/>
  <c r="J78" i="3"/>
  <c r="K78" i="3"/>
  <c r="L78" i="3"/>
  <c r="I80" i="3" l="1"/>
  <c r="J79" i="3"/>
  <c r="K79" i="3"/>
  <c r="L79" i="3"/>
  <c r="I81" i="3" l="1"/>
  <c r="L80" i="3"/>
  <c r="J80" i="3"/>
  <c r="K80" i="3"/>
  <c r="I82" i="3" l="1"/>
  <c r="J81" i="3"/>
  <c r="K81" i="3"/>
  <c r="L81" i="3"/>
  <c r="I83" i="3" l="1"/>
  <c r="L82" i="3"/>
  <c r="J82" i="3"/>
  <c r="K82" i="3"/>
  <c r="I84" i="3" l="1"/>
  <c r="K83" i="3"/>
  <c r="J83" i="3"/>
  <c r="L83" i="3"/>
  <c r="I85" i="3" l="1"/>
  <c r="K84" i="3"/>
  <c r="L84" i="3"/>
  <c r="J84" i="3"/>
  <c r="I86" i="3" l="1"/>
  <c r="K85" i="3"/>
  <c r="J85" i="3"/>
  <c r="L85" i="3"/>
  <c r="I87" i="3" l="1"/>
  <c r="J86" i="3"/>
  <c r="K86" i="3"/>
  <c r="L86" i="3"/>
  <c r="I88" i="3" l="1"/>
  <c r="L87" i="3"/>
  <c r="J87" i="3"/>
  <c r="K87" i="3"/>
  <c r="I89" i="3" l="1"/>
  <c r="L88" i="3"/>
  <c r="J88" i="3"/>
  <c r="K88" i="3"/>
  <c r="I90" i="3" l="1"/>
  <c r="J89" i="3"/>
  <c r="K89" i="3"/>
  <c r="L89" i="3"/>
  <c r="I91" i="3" l="1"/>
  <c r="L90" i="3"/>
  <c r="J90" i="3"/>
  <c r="K90" i="3"/>
  <c r="I92" i="3" l="1"/>
  <c r="K91" i="3"/>
  <c r="L91" i="3"/>
  <c r="J91" i="3"/>
  <c r="I93" i="3" l="1"/>
  <c r="J92" i="3"/>
  <c r="K92" i="3"/>
  <c r="L92" i="3"/>
  <c r="I94" i="3" l="1"/>
  <c r="K93" i="3"/>
  <c r="J93" i="3"/>
  <c r="L93" i="3"/>
  <c r="I95" i="3" l="1"/>
  <c r="J94" i="3"/>
  <c r="K94" i="3"/>
  <c r="L94" i="3"/>
  <c r="I96" i="3" l="1"/>
  <c r="J95" i="3"/>
  <c r="K95" i="3"/>
  <c r="L95" i="3"/>
  <c r="I97" i="3" l="1"/>
  <c r="L96" i="3"/>
  <c r="J96" i="3"/>
  <c r="K96" i="3"/>
  <c r="I98" i="3" l="1"/>
  <c r="J97" i="3"/>
  <c r="K97" i="3"/>
  <c r="L97" i="3"/>
  <c r="I99" i="3" l="1"/>
  <c r="L98" i="3"/>
  <c r="K98" i="3"/>
  <c r="J98" i="3"/>
  <c r="I100" i="3" l="1"/>
  <c r="K99" i="3"/>
  <c r="J99" i="3"/>
  <c r="L99" i="3"/>
  <c r="I101" i="3" l="1"/>
  <c r="J100" i="3"/>
  <c r="K100" i="3"/>
  <c r="L100" i="3"/>
  <c r="I102" i="3" l="1"/>
  <c r="K101" i="3"/>
  <c r="J101" i="3"/>
  <c r="L101" i="3"/>
  <c r="I103" i="3" l="1"/>
  <c r="J102" i="3"/>
  <c r="K102" i="3"/>
  <c r="L102" i="3"/>
  <c r="I104" i="3" l="1"/>
  <c r="J103" i="3"/>
  <c r="K103" i="3"/>
  <c r="L103" i="3"/>
  <c r="I105" i="3" l="1"/>
  <c r="L104" i="3"/>
  <c r="J104" i="3"/>
  <c r="K104" i="3"/>
  <c r="I106" i="3" l="1"/>
  <c r="L105" i="3"/>
  <c r="J105" i="3"/>
  <c r="K105" i="3"/>
  <c r="I107" i="3" l="1"/>
  <c r="L106" i="3"/>
  <c r="J106" i="3"/>
  <c r="K106" i="3"/>
  <c r="I108" i="3" l="1"/>
  <c r="K107" i="3"/>
  <c r="J107" i="3"/>
  <c r="L107" i="3"/>
  <c r="I109" i="3" l="1"/>
  <c r="J108" i="3"/>
  <c r="K108" i="3"/>
  <c r="L108" i="3"/>
  <c r="I110" i="3" l="1"/>
  <c r="K109" i="3"/>
  <c r="J109" i="3"/>
  <c r="L109" i="3"/>
  <c r="I111" i="3" l="1"/>
  <c r="J110" i="3"/>
  <c r="K110" i="3"/>
  <c r="L110" i="3"/>
  <c r="I112" i="3" l="1"/>
  <c r="J111" i="3"/>
  <c r="K111" i="3"/>
  <c r="L111" i="3"/>
  <c r="I113" i="3" l="1"/>
  <c r="L112" i="3"/>
  <c r="J112" i="3"/>
  <c r="K112" i="3"/>
  <c r="I114" i="3" l="1"/>
  <c r="J113" i="3"/>
  <c r="K113" i="3"/>
  <c r="L113" i="3"/>
  <c r="I115" i="3" l="1"/>
  <c r="L114" i="3"/>
  <c r="J114" i="3"/>
  <c r="K114" i="3"/>
  <c r="I116" i="3" l="1"/>
  <c r="K115" i="3"/>
  <c r="J115" i="3"/>
  <c r="L115" i="3"/>
  <c r="I117" i="3" l="1"/>
  <c r="K116" i="3"/>
  <c r="L116" i="3"/>
  <c r="J116" i="3"/>
  <c r="I118" i="3" l="1"/>
  <c r="K117" i="3"/>
  <c r="J117" i="3"/>
  <c r="L117" i="3"/>
  <c r="I119" i="3" l="1"/>
  <c r="J118" i="3"/>
  <c r="K118" i="3"/>
  <c r="L118" i="3"/>
  <c r="I120" i="3" l="1"/>
  <c r="L119" i="3"/>
  <c r="J119" i="3"/>
  <c r="K119" i="3"/>
  <c r="I121" i="3" l="1"/>
  <c r="L120" i="3"/>
  <c r="J120" i="3"/>
  <c r="K120" i="3"/>
  <c r="I122" i="3" l="1"/>
  <c r="J121" i="3"/>
  <c r="K121" i="3"/>
  <c r="L121" i="3"/>
  <c r="I123" i="3" l="1"/>
  <c r="L122" i="3"/>
  <c r="J122" i="3"/>
  <c r="K122" i="3"/>
  <c r="I124" i="3" l="1"/>
  <c r="K123" i="3"/>
  <c r="L123" i="3"/>
  <c r="J123" i="3"/>
  <c r="I125" i="3" l="1"/>
  <c r="J124" i="3"/>
  <c r="K124" i="3"/>
  <c r="L124" i="3"/>
  <c r="I126" i="3" l="1"/>
  <c r="K125" i="3"/>
  <c r="J125" i="3"/>
  <c r="L125" i="3"/>
  <c r="I127" i="3" l="1"/>
  <c r="J126" i="3"/>
  <c r="K126" i="3"/>
  <c r="L126" i="3"/>
  <c r="I128" i="3" l="1"/>
  <c r="J127" i="3"/>
  <c r="K127" i="3"/>
  <c r="L127" i="3"/>
  <c r="I129" i="3" l="1"/>
  <c r="L128" i="3"/>
  <c r="J128" i="3"/>
  <c r="K128" i="3"/>
  <c r="I130" i="3" l="1"/>
  <c r="J129" i="3"/>
  <c r="K129" i="3"/>
  <c r="L129" i="3"/>
  <c r="I131" i="3" l="1"/>
  <c r="L130" i="3"/>
  <c r="K130" i="3"/>
  <c r="J130" i="3"/>
  <c r="I132" i="3" l="1"/>
  <c r="K131" i="3"/>
  <c r="J131" i="3"/>
  <c r="L131" i="3"/>
  <c r="I133" i="3" l="1"/>
  <c r="J132" i="3"/>
  <c r="K132" i="3"/>
  <c r="L132" i="3"/>
  <c r="I134" i="3" l="1"/>
  <c r="K133" i="3"/>
  <c r="J133" i="3"/>
  <c r="L133" i="3"/>
  <c r="I135" i="3" l="1"/>
  <c r="J134" i="3"/>
  <c r="K134" i="3"/>
  <c r="L134" i="3"/>
  <c r="I136" i="3" l="1"/>
  <c r="J135" i="3"/>
  <c r="K135" i="3"/>
  <c r="L135" i="3"/>
  <c r="I137" i="3" l="1"/>
  <c r="L136" i="3"/>
  <c r="J136" i="3"/>
  <c r="K136" i="3"/>
  <c r="I138" i="3" l="1"/>
  <c r="L137" i="3"/>
  <c r="J137" i="3"/>
  <c r="K137" i="3"/>
  <c r="I139" i="3" l="1"/>
  <c r="L138" i="3"/>
  <c r="J138" i="3"/>
  <c r="K138" i="3"/>
  <c r="I140" i="3" l="1"/>
  <c r="K139" i="3"/>
  <c r="J139" i="3"/>
  <c r="L139" i="3"/>
  <c r="I141" i="3" l="1"/>
  <c r="J140" i="3"/>
  <c r="K140" i="3"/>
  <c r="L140" i="3"/>
  <c r="I142" i="3" l="1"/>
  <c r="K141" i="3"/>
  <c r="J141" i="3"/>
  <c r="L141" i="3"/>
  <c r="I143" i="3" l="1"/>
  <c r="J142" i="3"/>
  <c r="K142" i="3"/>
  <c r="L142" i="3"/>
  <c r="I144" i="3" l="1"/>
  <c r="J143" i="3"/>
  <c r="K143" i="3"/>
  <c r="L143" i="3"/>
  <c r="I145" i="3" l="1"/>
  <c r="L144" i="3"/>
  <c r="J144" i="3"/>
  <c r="K144" i="3"/>
  <c r="I146" i="3" l="1"/>
  <c r="J145" i="3"/>
  <c r="K145" i="3"/>
  <c r="L145" i="3"/>
  <c r="I147" i="3" l="1"/>
  <c r="L146" i="3"/>
  <c r="J146" i="3"/>
  <c r="K146" i="3"/>
  <c r="I148" i="3" l="1"/>
  <c r="K147" i="3"/>
  <c r="J147" i="3"/>
  <c r="L147" i="3"/>
  <c r="I149" i="3" l="1"/>
  <c r="K148" i="3"/>
  <c r="L148" i="3"/>
  <c r="J148" i="3"/>
  <c r="I150" i="3" l="1"/>
  <c r="K149" i="3"/>
  <c r="J149" i="3"/>
  <c r="L149" i="3"/>
  <c r="I151" i="3" l="1"/>
  <c r="J150" i="3"/>
  <c r="K150" i="3"/>
  <c r="L150" i="3"/>
  <c r="I152" i="3" l="1"/>
  <c r="L151" i="3"/>
  <c r="J151" i="3"/>
  <c r="K151" i="3"/>
  <c r="I153" i="3" l="1"/>
  <c r="L152" i="3"/>
  <c r="J152" i="3"/>
  <c r="K152" i="3"/>
  <c r="I154" i="3" l="1"/>
  <c r="J153" i="3"/>
  <c r="K153" i="3"/>
  <c r="L153" i="3"/>
  <c r="I155" i="3" l="1"/>
  <c r="L154" i="3"/>
  <c r="J154" i="3"/>
  <c r="K154" i="3"/>
  <c r="I156" i="3" l="1"/>
  <c r="K155" i="3"/>
  <c r="L155" i="3"/>
  <c r="J155" i="3"/>
  <c r="I157" i="3" l="1"/>
  <c r="J156" i="3"/>
  <c r="K156" i="3"/>
  <c r="L156" i="3"/>
  <c r="I158" i="3" l="1"/>
  <c r="K157" i="3"/>
  <c r="J157" i="3"/>
  <c r="L157" i="3"/>
  <c r="I159" i="3" l="1"/>
  <c r="J158" i="3"/>
  <c r="K158" i="3"/>
  <c r="L158" i="3"/>
  <c r="I160" i="3" l="1"/>
  <c r="J159" i="3"/>
  <c r="K159" i="3"/>
  <c r="L159" i="3"/>
  <c r="I161" i="3" l="1"/>
  <c r="L160" i="3"/>
  <c r="J160" i="3"/>
  <c r="K160" i="3"/>
  <c r="I162" i="3" l="1"/>
  <c r="J161" i="3"/>
  <c r="K161" i="3"/>
  <c r="L161" i="3"/>
  <c r="I163" i="3" l="1"/>
  <c r="L162" i="3"/>
  <c r="K162" i="3"/>
  <c r="J162" i="3"/>
  <c r="I164" i="3" l="1"/>
  <c r="K163" i="3"/>
  <c r="J163" i="3"/>
  <c r="L163" i="3"/>
  <c r="I165" i="3" l="1"/>
  <c r="J164" i="3"/>
  <c r="K164" i="3"/>
  <c r="L164" i="3"/>
  <c r="I166" i="3" l="1"/>
  <c r="K165" i="3"/>
  <c r="J165" i="3"/>
  <c r="L165" i="3"/>
  <c r="I167" i="3" l="1"/>
  <c r="J166" i="3"/>
  <c r="K166" i="3"/>
  <c r="L166" i="3"/>
  <c r="I168" i="3" l="1"/>
  <c r="J167" i="3"/>
  <c r="K167" i="3"/>
  <c r="L167" i="3"/>
  <c r="I169" i="3" l="1"/>
  <c r="L168" i="3"/>
  <c r="J168" i="3"/>
  <c r="K168" i="3"/>
  <c r="I170" i="3" l="1"/>
  <c r="L169" i="3"/>
  <c r="J169" i="3"/>
  <c r="K169" i="3"/>
  <c r="I171" i="3" l="1"/>
  <c r="L170" i="3"/>
  <c r="J170" i="3"/>
  <c r="K170" i="3"/>
  <c r="I172" i="3" l="1"/>
  <c r="K171" i="3"/>
  <c r="J171" i="3"/>
  <c r="L171" i="3"/>
  <c r="I173" i="3" l="1"/>
  <c r="J172" i="3"/>
  <c r="K172" i="3"/>
  <c r="L172" i="3"/>
  <c r="I174" i="3" l="1"/>
  <c r="K173" i="3"/>
  <c r="J173" i="3"/>
  <c r="L173" i="3"/>
  <c r="I175" i="3" l="1"/>
  <c r="J174" i="3"/>
  <c r="K174" i="3"/>
  <c r="L174" i="3"/>
  <c r="I176" i="3" l="1"/>
  <c r="J175" i="3"/>
  <c r="K175" i="3"/>
  <c r="L175" i="3"/>
  <c r="I177" i="3" l="1"/>
  <c r="L176" i="3"/>
  <c r="J176" i="3"/>
  <c r="K176" i="3"/>
  <c r="I178" i="3" l="1"/>
  <c r="J177" i="3"/>
  <c r="K177" i="3"/>
  <c r="L177" i="3"/>
  <c r="I179" i="3" l="1"/>
  <c r="L178" i="3"/>
  <c r="J178" i="3"/>
  <c r="K178" i="3"/>
  <c r="I180" i="3" l="1"/>
  <c r="K179" i="3"/>
  <c r="J179" i="3"/>
  <c r="L179" i="3"/>
  <c r="I181" i="3" l="1"/>
  <c r="K180" i="3"/>
  <c r="L180" i="3"/>
  <c r="J180" i="3"/>
  <c r="I182" i="3" l="1"/>
  <c r="K181" i="3"/>
  <c r="J181" i="3"/>
  <c r="L181" i="3"/>
  <c r="I183" i="3" l="1"/>
  <c r="J182" i="3"/>
  <c r="K182" i="3"/>
  <c r="L182" i="3"/>
  <c r="I184" i="3" l="1"/>
  <c r="L183" i="3"/>
  <c r="J183" i="3"/>
  <c r="K183" i="3"/>
  <c r="I185" i="3" l="1"/>
  <c r="L184" i="3"/>
  <c r="J184" i="3"/>
  <c r="K184" i="3"/>
  <c r="I186" i="3" l="1"/>
  <c r="J185" i="3"/>
  <c r="K185" i="3"/>
  <c r="L185" i="3"/>
  <c r="I187" i="3" l="1"/>
  <c r="L186" i="3"/>
  <c r="J186" i="3"/>
  <c r="K186" i="3"/>
  <c r="I188" i="3" l="1"/>
  <c r="K187" i="3"/>
  <c r="L187" i="3"/>
  <c r="J187" i="3"/>
  <c r="I189" i="3" l="1"/>
  <c r="J188" i="3"/>
  <c r="K188" i="3"/>
  <c r="L188" i="3"/>
  <c r="I190" i="3" l="1"/>
  <c r="K189" i="3"/>
  <c r="J189" i="3"/>
  <c r="L189" i="3"/>
  <c r="I191" i="3" l="1"/>
  <c r="J190" i="3"/>
  <c r="K190" i="3"/>
  <c r="L190" i="3"/>
  <c r="I192" i="3" l="1"/>
  <c r="J191" i="3"/>
  <c r="K191" i="3"/>
  <c r="L191" i="3"/>
  <c r="I193" i="3" l="1"/>
  <c r="L192" i="3"/>
  <c r="J192" i="3"/>
  <c r="K192" i="3"/>
  <c r="I194" i="3" l="1"/>
  <c r="J193" i="3"/>
  <c r="K193" i="3"/>
  <c r="L193" i="3"/>
  <c r="I195" i="3" l="1"/>
  <c r="L194" i="3"/>
  <c r="K194" i="3"/>
  <c r="J194" i="3"/>
  <c r="I196" i="3" l="1"/>
  <c r="K195" i="3"/>
  <c r="J195" i="3"/>
  <c r="L195" i="3"/>
  <c r="I197" i="3" l="1"/>
  <c r="J196" i="3"/>
  <c r="K196" i="3"/>
  <c r="L196" i="3"/>
  <c r="I198" i="3" l="1"/>
  <c r="K197" i="3"/>
  <c r="J197" i="3"/>
  <c r="L197" i="3"/>
  <c r="I199" i="3" l="1"/>
  <c r="J198" i="3"/>
  <c r="K198" i="3"/>
  <c r="L198" i="3"/>
  <c r="I200" i="3" l="1"/>
  <c r="J199" i="3"/>
  <c r="K199" i="3"/>
  <c r="L199" i="3"/>
  <c r="I201" i="3" l="1"/>
  <c r="L200" i="3"/>
  <c r="J200" i="3"/>
  <c r="K200" i="3"/>
  <c r="I202" i="3" l="1"/>
  <c r="L201" i="3"/>
  <c r="J201" i="3"/>
  <c r="K201" i="3"/>
  <c r="I203" i="3" l="1"/>
  <c r="L202" i="3"/>
  <c r="J202" i="3"/>
  <c r="K202" i="3"/>
  <c r="I204" i="3" l="1"/>
  <c r="K203" i="3"/>
  <c r="J203" i="3"/>
  <c r="L203" i="3"/>
  <c r="I205" i="3" l="1"/>
  <c r="J204" i="3"/>
  <c r="K204" i="3"/>
  <c r="L204" i="3"/>
  <c r="I206" i="3" l="1"/>
  <c r="K205" i="3"/>
  <c r="J205" i="3"/>
  <c r="L205" i="3"/>
  <c r="I207" i="3" l="1"/>
  <c r="J206" i="3"/>
  <c r="K206" i="3"/>
  <c r="L206" i="3"/>
  <c r="I208" i="3" l="1"/>
  <c r="J207" i="3"/>
  <c r="K207" i="3"/>
  <c r="L207" i="3"/>
  <c r="I209" i="3" l="1"/>
  <c r="L208" i="3"/>
  <c r="J208" i="3"/>
  <c r="K208" i="3"/>
  <c r="I210" i="3" l="1"/>
  <c r="J209" i="3"/>
  <c r="K209" i="3"/>
  <c r="L209" i="3"/>
  <c r="I211" i="3" l="1"/>
  <c r="L210" i="3"/>
  <c r="J210" i="3"/>
  <c r="K210" i="3"/>
  <c r="I212" i="3" l="1"/>
  <c r="K211" i="3"/>
  <c r="J211" i="3"/>
  <c r="L211" i="3"/>
  <c r="I213" i="3" l="1"/>
  <c r="K212" i="3"/>
  <c r="L212" i="3"/>
  <c r="J212" i="3"/>
  <c r="I214" i="3" l="1"/>
  <c r="K213" i="3"/>
  <c r="J213" i="3"/>
  <c r="L213" i="3"/>
  <c r="I215" i="3" l="1"/>
  <c r="J214" i="3"/>
  <c r="K214" i="3"/>
  <c r="L214" i="3"/>
  <c r="I216" i="3" l="1"/>
  <c r="L215" i="3"/>
  <c r="J215" i="3"/>
  <c r="K215" i="3"/>
  <c r="I217" i="3" l="1"/>
  <c r="L216" i="3"/>
  <c r="J216" i="3"/>
  <c r="K216" i="3"/>
  <c r="I218" i="3" l="1"/>
  <c r="J217" i="3"/>
  <c r="K217" i="3"/>
  <c r="L217" i="3"/>
  <c r="I219" i="3" l="1"/>
  <c r="L218" i="3"/>
  <c r="J218" i="3"/>
  <c r="K218" i="3"/>
  <c r="I220" i="3" l="1"/>
  <c r="K219" i="3"/>
  <c r="L219" i="3"/>
  <c r="J219" i="3"/>
  <c r="I221" i="3" l="1"/>
  <c r="J220" i="3"/>
  <c r="K220" i="3"/>
  <c r="L220" i="3"/>
  <c r="I222" i="3" l="1"/>
  <c r="K221" i="3"/>
  <c r="J221" i="3"/>
  <c r="L221" i="3"/>
  <c r="I223" i="3" l="1"/>
  <c r="J222" i="3"/>
  <c r="K222" i="3"/>
  <c r="L222" i="3"/>
  <c r="I224" i="3" l="1"/>
  <c r="J223" i="3"/>
  <c r="K223" i="3"/>
  <c r="L223" i="3"/>
  <c r="I225" i="3" l="1"/>
  <c r="L224" i="3"/>
  <c r="J224" i="3"/>
  <c r="K224" i="3"/>
  <c r="I226" i="3" l="1"/>
  <c r="J225" i="3"/>
  <c r="K225" i="3"/>
  <c r="L225" i="3"/>
  <c r="I227" i="3" l="1"/>
  <c r="L226" i="3"/>
  <c r="K226" i="3"/>
  <c r="J226" i="3"/>
  <c r="I228" i="3" l="1"/>
  <c r="K227" i="3"/>
  <c r="J227" i="3"/>
  <c r="L227" i="3"/>
  <c r="I229" i="3" l="1"/>
  <c r="J228" i="3"/>
  <c r="K228" i="3"/>
  <c r="L228" i="3"/>
  <c r="I230" i="3" l="1"/>
  <c r="K229" i="3"/>
  <c r="J229" i="3"/>
  <c r="L229" i="3"/>
  <c r="I231" i="3" l="1"/>
  <c r="J230" i="3"/>
  <c r="K230" i="3"/>
  <c r="L230" i="3"/>
  <c r="I232" i="3" l="1"/>
  <c r="J231" i="3"/>
  <c r="K231" i="3"/>
  <c r="L231" i="3"/>
  <c r="I233" i="3" l="1"/>
  <c r="J232" i="3"/>
  <c r="K232" i="3"/>
  <c r="L232" i="3"/>
  <c r="I234" i="3" l="1"/>
  <c r="K233" i="3"/>
  <c r="L233" i="3"/>
  <c r="J233" i="3"/>
  <c r="I235" i="3" l="1"/>
  <c r="J234" i="3"/>
  <c r="K234" i="3"/>
  <c r="L234" i="3"/>
  <c r="I236" i="3" l="1"/>
  <c r="J235" i="3"/>
  <c r="K235" i="3"/>
  <c r="L235" i="3"/>
  <c r="I237" i="3" l="1"/>
  <c r="J236" i="3"/>
  <c r="K236" i="3"/>
  <c r="L236" i="3"/>
  <c r="I238" i="3" l="1"/>
  <c r="J237" i="3"/>
  <c r="K237" i="3"/>
  <c r="L237" i="3"/>
  <c r="I239" i="3" l="1"/>
  <c r="L238" i="3"/>
  <c r="J238" i="3"/>
  <c r="K238" i="3"/>
  <c r="I240" i="3" l="1"/>
  <c r="J239" i="3"/>
  <c r="K239" i="3"/>
  <c r="L239" i="3"/>
  <c r="J240" i="3" l="1"/>
  <c r="K240" i="3"/>
  <c r="L240" i="3"/>
  <c r="D28" i="2" l="1"/>
  <c r="D29" i="2" l="1"/>
  <c r="D30" i="2" s="1"/>
  <c r="D32" i="2" s="1"/>
  <c r="D21" i="2" l="1"/>
  <c r="N19" i="1" l="1"/>
  <c r="F20" i="10"/>
  <c r="F26" i="2" l="1"/>
  <c r="E26" i="2"/>
  <c r="G26" i="2"/>
  <c r="N34" i="1"/>
  <c r="C26" i="2"/>
  <c r="O19" i="1"/>
  <c r="C25" i="2" s="1"/>
  <c r="G20" i="10"/>
  <c r="B26" i="2" l="1"/>
  <c r="C28" i="2"/>
  <c r="G25" i="2"/>
  <c r="G28" i="2" s="1"/>
  <c r="F25" i="2"/>
  <c r="F28" i="2" s="1"/>
  <c r="E25" i="2"/>
  <c r="E28" i="2" s="1"/>
  <c r="O34" i="1"/>
  <c r="M19" i="1"/>
  <c r="C15" i="2" l="1"/>
  <c r="G15" i="2"/>
  <c r="E15" i="2"/>
  <c r="F15" i="2"/>
  <c r="B25" i="2"/>
  <c r="B28" i="2" s="1"/>
  <c r="M34" i="1"/>
  <c r="M77" i="1" s="1"/>
  <c r="B15" i="2" l="1"/>
  <c r="C16" i="2" s="1"/>
  <c r="C19" i="2" s="1"/>
  <c r="C22" i="2" s="1"/>
  <c r="G16" i="2" l="1"/>
  <c r="G19" i="2" s="1"/>
  <c r="G22" i="2" s="1"/>
  <c r="E16" i="2"/>
  <c r="E19" i="2" s="1"/>
  <c r="E22" i="2" s="1"/>
  <c r="F16" i="2"/>
  <c r="F19" i="2" s="1"/>
  <c r="F22" i="2" s="1"/>
  <c r="G18" i="2"/>
  <c r="G29" i="2" s="1"/>
  <c r="G30" i="2" s="1"/>
  <c r="C18" i="2"/>
  <c r="C21" i="2" s="1"/>
  <c r="E18" i="2"/>
  <c r="F18" i="2"/>
  <c r="F21" i="2" s="1"/>
  <c r="G32" i="2" l="1"/>
  <c r="B18" i="2"/>
  <c r="B21" i="2" s="1"/>
  <c r="G21" i="2"/>
  <c r="C29" i="2"/>
  <c r="C30" i="2" s="1"/>
  <c r="C32" i="2" s="1"/>
  <c r="B19" i="2"/>
  <c r="B22" i="2" s="1"/>
  <c r="E29" i="2"/>
  <c r="E30" i="2" s="1"/>
  <c r="E32" i="2" s="1"/>
  <c r="E21" i="2"/>
  <c r="F29" i="2"/>
  <c r="F30" i="2" s="1"/>
  <c r="F32" i="2" s="1"/>
  <c r="A36" i="2" l="1"/>
  <c r="A37" i="2" s="1"/>
  <c r="B29" i="2"/>
  <c r="B30" i="2" s="1"/>
  <c r="B3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tc={E7F06905-31DD-4A00-8C9B-C8E707448C7C}</author>
  </authors>
  <commentList>
    <comment ref="N7" authorId="0" shapeId="0" xr:uid="{E7F06905-31DD-4A00-8C9B-C8E707448C7C}">
      <text>
        <t>[Threaded comment]
Your version of Excel allows you to read this threaded comment; however, any edits to it will get removed if the file is opened in a newer version of Excel. Learn more: https://go.microsoft.com/fwlink/?linkid=870924
Comment:
    NB: hvis årsverk er valgt som enhet må input i 
kolonnen "Antall enheter" være 0% - 100%
(det er f.eks. feil å registrere 300% selv om det budsjetteres en person med 100% i 3 år)</t>
      </text>
    </comment>
  </commentList>
</comments>
</file>

<file path=xl/sharedStrings.xml><?xml version="1.0" encoding="utf-8"?>
<sst xmlns="http://schemas.openxmlformats.org/spreadsheetml/2006/main" count="757" uniqueCount="685">
  <si>
    <t>Navn</t>
  </si>
  <si>
    <t>Rolle</t>
  </si>
  <si>
    <t>Koststed</t>
  </si>
  <si>
    <t>Lønnsbånd</t>
  </si>
  <si>
    <t>Budsjettenhet</t>
  </si>
  <si>
    <t>APL</t>
  </si>
  <si>
    <t>FOR</t>
  </si>
  <si>
    <t>POST</t>
  </si>
  <si>
    <t>PROF</t>
  </si>
  <si>
    <t>PL</t>
  </si>
  <si>
    <t>PHD</t>
  </si>
  <si>
    <t>Prosjektinformasjon</t>
  </si>
  <si>
    <t xml:space="preserve"> </t>
  </si>
  <si>
    <t>Prosjektnavn</t>
  </si>
  <si>
    <t>Planlagt prosjekttoppstart</t>
  </si>
  <si>
    <t>Planlagt sluttdato</t>
  </si>
  <si>
    <t>Sammendrag</t>
  </si>
  <si>
    <t>Budsjetterte totale kostnader</t>
  </si>
  <si>
    <t>Sentral (evt. fra fakultet) finansiering</t>
  </si>
  <si>
    <t>Egenfinansiering koststed</t>
  </si>
  <si>
    <t>Inntekt fra bruk av egne leiesteder</t>
  </si>
  <si>
    <t>Bruttobidrag fra prosjektet</t>
  </si>
  <si>
    <t>Koststedets egenfinansiering</t>
  </si>
  <si>
    <t>Nettobidrag fra prosjektet</t>
  </si>
  <si>
    <t>Nettobidrag (%)</t>
  </si>
  <si>
    <t>Beskrivelse</t>
  </si>
  <si>
    <t>Topposteringer</t>
  </si>
  <si>
    <t>RE-Rektor</t>
  </si>
  <si>
    <t>RE-Styret</t>
  </si>
  <si>
    <t>FO-UB felles</t>
  </si>
  <si>
    <t>FO-UB Litt.- og publ</t>
  </si>
  <si>
    <t>Felleskost AD FAK</t>
  </si>
  <si>
    <t>AD - adm utd forsk</t>
  </si>
  <si>
    <t>AD - adm hr øk</t>
  </si>
  <si>
    <t>AD  Kunstakademiet</t>
  </si>
  <si>
    <t>AD - ID</t>
  </si>
  <si>
    <t>AD - ID - Gjøvik</t>
  </si>
  <si>
    <t>AD - IAP</t>
  </si>
  <si>
    <t>AD - IAT</t>
  </si>
  <si>
    <t>AD - IAT- ZEN</t>
  </si>
  <si>
    <t>HF - Adm</t>
  </si>
  <si>
    <t>HF - FME</t>
  </si>
  <si>
    <t>HF - IKM</t>
  </si>
  <si>
    <t>HF - KULT</t>
  </si>
  <si>
    <t>HF - IMU</t>
  </si>
  <si>
    <t>HF - ISL</t>
  </si>
  <si>
    <t>HF - ISL Språklab</t>
  </si>
  <si>
    <t>HF - IFR</t>
  </si>
  <si>
    <t>HF - IHK</t>
  </si>
  <si>
    <t>HF - IMS</t>
  </si>
  <si>
    <t>IE - IDI</t>
  </si>
  <si>
    <t>IE - IDI Gjøvik</t>
  </si>
  <si>
    <t>IE - IDI AIT</t>
  </si>
  <si>
    <t>IE - IDI Data</t>
  </si>
  <si>
    <t>IE - IDI Software</t>
  </si>
  <si>
    <t>IE - IDI SFU Exc</t>
  </si>
  <si>
    <t>IE - IDI NAIL</t>
  </si>
  <si>
    <t>IE - IDI SFI AI</t>
  </si>
  <si>
    <t>IE - IMF</t>
  </si>
  <si>
    <t>IE - IMF Realfag</t>
  </si>
  <si>
    <t>IE - IMF Forkurs</t>
  </si>
  <si>
    <t>IE - IEL</t>
  </si>
  <si>
    <t>IE - IEL Verksted</t>
  </si>
  <si>
    <t>IE - ITK</t>
  </si>
  <si>
    <t>IE - ITK Elektronikk</t>
  </si>
  <si>
    <t>IE - ITK Datalab</t>
  </si>
  <si>
    <t>IE - IIK</t>
  </si>
  <si>
    <t>IE - IIK CCIS</t>
  </si>
  <si>
    <t>IE - IIK SFI NORCICS</t>
  </si>
  <si>
    <t>IE - IES</t>
  </si>
  <si>
    <t>IE - IES Akustikk</t>
  </si>
  <si>
    <t>IE - IES SFI CGF</t>
  </si>
  <si>
    <t>IE - IIR Realfag</t>
  </si>
  <si>
    <t>IV Fak.adm</t>
  </si>
  <si>
    <t>IV Felles</t>
  </si>
  <si>
    <t>IV FSO</t>
  </si>
  <si>
    <t>IV IMT</t>
  </si>
  <si>
    <t>IV IMT - Hydrolab</t>
  </si>
  <si>
    <t>IV IMT - AURlab</t>
  </si>
  <si>
    <t>IV IMT - Mlab</t>
  </si>
  <si>
    <t>IV IMT - Klab</t>
  </si>
  <si>
    <t>IV EPT</t>
  </si>
  <si>
    <t>IV EPT - TF lab</t>
  </si>
  <si>
    <t>IV EPT - SES lab</t>
  </si>
  <si>
    <t>IV EPT - PP lab</t>
  </si>
  <si>
    <t>IV EPT-FME Hydrocen</t>
  </si>
  <si>
    <t>IV KT</t>
  </si>
  <si>
    <t>IV KT - MatTestLab</t>
  </si>
  <si>
    <t>IV KT - ConcreteLab</t>
  </si>
  <si>
    <t>IV KT - ChemistryLab</t>
  </si>
  <si>
    <t>IV KT - SensorLab</t>
  </si>
  <si>
    <t>IV KT - Warehouse</t>
  </si>
  <si>
    <t>IV KT - SFI CASA</t>
  </si>
  <si>
    <t>IV IMT - SFF AMOS</t>
  </si>
  <si>
    <t>IV IGP</t>
  </si>
  <si>
    <t>IV IGP – Oppdredning</t>
  </si>
  <si>
    <t>IV IGP – Ing.Berglab</t>
  </si>
  <si>
    <t>IV IGP – KMlab</t>
  </si>
  <si>
    <t>IV IGP – Sliplab</t>
  </si>
  <si>
    <t>IV IGP – EMlab</t>
  </si>
  <si>
    <t>IV IGP – Magnometri</t>
  </si>
  <si>
    <t>IV IGP – Reservoar</t>
  </si>
  <si>
    <t>IV IGP – Verksted</t>
  </si>
  <si>
    <t>IV IGP – Forsøkshall</t>
  </si>
  <si>
    <t>IV IBM</t>
  </si>
  <si>
    <t>IV IBM - F.verksted</t>
  </si>
  <si>
    <t>IV IBM - Islab</t>
  </si>
  <si>
    <t>IV IBM - VJT lab</t>
  </si>
  <si>
    <t>IV IBM - GT lab</t>
  </si>
  <si>
    <t>IV IBM - Snølab</t>
  </si>
  <si>
    <t>IV IBM - Trafikk lab</t>
  </si>
  <si>
    <t>IV IBM - El.verksted</t>
  </si>
  <si>
    <t>IV IBM - VT lab</t>
  </si>
  <si>
    <t>IV IBM - VA lab</t>
  </si>
  <si>
    <t>IV IBM - SIAT</t>
  </si>
  <si>
    <t>IV MTP</t>
  </si>
  <si>
    <t>IV MTP - Forskning</t>
  </si>
  <si>
    <t>IV MTP - Manulab I40</t>
  </si>
  <si>
    <t>IV MTP - Manulab Nap</t>
  </si>
  <si>
    <t>IV MTP - PFIB</t>
  </si>
  <si>
    <t>IV MTP - Nanomek</t>
  </si>
  <si>
    <t>IV MTP - Utmatting</t>
  </si>
  <si>
    <t>IV MTP - Kompositt</t>
  </si>
  <si>
    <t>IV MTP - Korrosjon</t>
  </si>
  <si>
    <t>IV MTP - Translate</t>
  </si>
  <si>
    <t>IV MTP - Undervisnin</t>
  </si>
  <si>
    <t>IV MTP - Verksted</t>
  </si>
  <si>
    <t>IV IHB</t>
  </si>
  <si>
    <t>IV IHB - Maritim tek</t>
  </si>
  <si>
    <t>IV IHB - Mech lab</t>
  </si>
  <si>
    <t>IV IHB - Manulab</t>
  </si>
  <si>
    <t>IV IHB - Masch lab</t>
  </si>
  <si>
    <t>IV IHB - Skips lab</t>
  </si>
  <si>
    <t>IV IHB - Proto lab</t>
  </si>
  <si>
    <t>IV IHB - SFI MOVE</t>
  </si>
  <si>
    <t>IV IHB - Maritime op</t>
  </si>
  <si>
    <t>IV IHB - Mar Sim lab</t>
  </si>
  <si>
    <t>IV IHB - Sim Senter</t>
  </si>
  <si>
    <t>IV IHB - Byggteknikk</t>
  </si>
  <si>
    <t>IV IHB - Smart W lab</t>
  </si>
  <si>
    <t>IV IHB - Byggtek lab</t>
  </si>
  <si>
    <t>IV IHB - Vei lab</t>
  </si>
  <si>
    <t>IV IVB</t>
  </si>
  <si>
    <t>IV IVB - Lab</t>
  </si>
  <si>
    <t>IV IVB - ManuLab</t>
  </si>
  <si>
    <t>MH-ADM-Stab</t>
  </si>
  <si>
    <t>MH-ADM-Forskning</t>
  </si>
  <si>
    <t>MH-ADM-Utdanning</t>
  </si>
  <si>
    <t>MH-ADM-Økonomi</t>
  </si>
  <si>
    <t>MH-ADM-IT</t>
  </si>
  <si>
    <t>MH-ADM-HR</t>
  </si>
  <si>
    <t>MH-ADM-REK</t>
  </si>
  <si>
    <t>MH-ADM-CoMed</t>
  </si>
  <si>
    <t>MH-ADM-Klinforsk</t>
  </si>
  <si>
    <t>MH-IKOM</t>
  </si>
  <si>
    <t>MH-IKOM-leiested</t>
  </si>
  <si>
    <t>MH-IKOM-CEMIR</t>
  </si>
  <si>
    <t>MH-IKOM-GCF</t>
  </si>
  <si>
    <t>MH-IKOM-BioCore</t>
  </si>
  <si>
    <t>MH-IKOM-Promec</t>
  </si>
  <si>
    <t>MH-IKOM-CMIC</t>
  </si>
  <si>
    <t>MH-IKOM-CMIC-Alm</t>
  </si>
  <si>
    <t>MH-IKOM-CMIC-EM</t>
  </si>
  <si>
    <t>MH-IKOM-CMIC-Hist</t>
  </si>
  <si>
    <t>MH-ISM</t>
  </si>
  <si>
    <t>MH-ISB</t>
  </si>
  <si>
    <t>MH-ISB-MRCore</t>
  </si>
  <si>
    <t>MH-ISB-CIUS</t>
  </si>
  <si>
    <t>MH-ISB-Ultralydlab</t>
  </si>
  <si>
    <t>MH-ISB-Generellab</t>
  </si>
  <si>
    <t>MH-ISB-Norwegian 7T</t>
  </si>
  <si>
    <t>MH-INB</t>
  </si>
  <si>
    <t>MH-INB-Stamcellelab</t>
  </si>
  <si>
    <t>MH-INB-Nevrobiolab</t>
  </si>
  <si>
    <t>MH-INB-Klinikknærlab</t>
  </si>
  <si>
    <t>MH-INB-NextMove</t>
  </si>
  <si>
    <t>MH-INB-SenTIF</t>
  </si>
  <si>
    <t>MH-IPH</t>
  </si>
  <si>
    <t>MH-IPH-NAKU</t>
  </si>
  <si>
    <t>MH-IPH-RKBU</t>
  </si>
  <si>
    <t>MH-KIN</t>
  </si>
  <si>
    <t>MH-KIN-Virallab</t>
  </si>
  <si>
    <t>MH-KIN-Moser</t>
  </si>
  <si>
    <t>MH-KIN-Witter</t>
  </si>
  <si>
    <t>MH-KIN-Roudi</t>
  </si>
  <si>
    <t>MH-KIN-Kentros</t>
  </si>
  <si>
    <t>MH-KIN-Yaksi</t>
  </si>
  <si>
    <t>MH-KIN-Whitlock</t>
  </si>
  <si>
    <t>MH-KIN-Quatrocolo</t>
  </si>
  <si>
    <t>MH-KIN-Nigro</t>
  </si>
  <si>
    <t>MH-KIN-Schroeder</t>
  </si>
  <si>
    <t>MH-KIN-Ziaei</t>
  </si>
  <si>
    <t>MH-KIN-Doeller</t>
  </si>
  <si>
    <t>MH-IHG</t>
  </si>
  <si>
    <t>MH-IHG-SOF</t>
  </si>
  <si>
    <t>MH-IHA</t>
  </si>
  <si>
    <t>MH-IHA-Leiested</t>
  </si>
  <si>
    <t>NV Felles- Dekanat</t>
  </si>
  <si>
    <t>NV Felles- Stab</t>
  </si>
  <si>
    <t>NV Felles- FoI</t>
  </si>
  <si>
    <t>NV Felles- Utdanning</t>
  </si>
  <si>
    <t>NV Felles- HR/HMS</t>
  </si>
  <si>
    <t>NV Felles- ØPS</t>
  </si>
  <si>
    <t>NV ADM - Dekanat</t>
  </si>
  <si>
    <t>NV ADM - FoI-seksjon</t>
  </si>
  <si>
    <t>NV ADM - Utdanning</t>
  </si>
  <si>
    <t>NV ADM - HR/HMS</t>
  </si>
  <si>
    <t>NV ADM - ØP-seksjon</t>
  </si>
  <si>
    <t>NV Finmek verksted</t>
  </si>
  <si>
    <t>NV Glassblåserverkst</t>
  </si>
  <si>
    <t>NV Elektronikkverkst</t>
  </si>
  <si>
    <t>NV-IBI-Økologi-sekv.</t>
  </si>
  <si>
    <t>NV-IBI-Veksthus PBS</t>
  </si>
  <si>
    <t>NV-IBI-TBS</t>
  </si>
  <si>
    <t>NV-IBI-SFF-CBD</t>
  </si>
  <si>
    <t>NV-IBT-Institutt</t>
  </si>
  <si>
    <t>NV-IBT-Mikrob Biotek</t>
  </si>
  <si>
    <t>NV-IBT-Biopolymerer</t>
  </si>
  <si>
    <t>NV-IBT-MNM</t>
  </si>
  <si>
    <t>NV-IBT-NMR</t>
  </si>
  <si>
    <t>NV-IBT-Teknologilab</t>
  </si>
  <si>
    <t>NV-IFY-Institutt</t>
  </si>
  <si>
    <t>NV-IFY-Skolelab</t>
  </si>
  <si>
    <t>NV-IFY-Tekn. Tjenest</t>
  </si>
  <si>
    <t>NV-IFY-NORTEM</t>
  </si>
  <si>
    <t>NV-IFY-Molekylær avb</t>
  </si>
  <si>
    <t>NV-IFY-Xray Phys Lab</t>
  </si>
  <si>
    <t>NV-IFY-BioplymerfysI</t>
  </si>
  <si>
    <t>NV-IFY-Lysspektrosk.</t>
  </si>
  <si>
    <t>NV-IFY-MykeKomplekse</t>
  </si>
  <si>
    <t>NV-IFY-Atmosf./miljø</t>
  </si>
  <si>
    <t>NV-IFY-Materialvekst</t>
  </si>
  <si>
    <t>NV-IFY-Ultrar. laser</t>
  </si>
  <si>
    <t>NV-IFY-Linux</t>
  </si>
  <si>
    <t>NV-IFY-SFF-QuSpin</t>
  </si>
  <si>
    <t>NV-IFY-SFF-PoreLab</t>
  </si>
  <si>
    <t>NV-IKJ-Institutt</t>
  </si>
  <si>
    <t>NV-IKJ-ICPMS</t>
  </si>
  <si>
    <t>NV-IKJ-MS-konsortiet</t>
  </si>
  <si>
    <t>NV-IKJ-Analysetjenes</t>
  </si>
  <si>
    <t>NV-IKJ-Lab.Arbeidspl</t>
  </si>
  <si>
    <t>NV-IKP-Institutt</t>
  </si>
  <si>
    <t>NV-IKP-Katalyselab</t>
  </si>
  <si>
    <t>NV-IKP-Kolloidlab</t>
  </si>
  <si>
    <t>NV-IKP-Miljøreaktorl</t>
  </si>
  <si>
    <t>NV-IKP-Monteringshal</t>
  </si>
  <si>
    <t>NV-IKP-CO2-Pilot</t>
  </si>
  <si>
    <t>NV-IKP-CybProSystlab</t>
  </si>
  <si>
    <t>NV-IKP-Pros&amp;Systtekn</t>
  </si>
  <si>
    <t>NV-IKP-PEC Centre</t>
  </si>
  <si>
    <t>NV-IKP-SFI-ICSI</t>
  </si>
  <si>
    <t>NV-IKP-SFI-SUBPRO</t>
  </si>
  <si>
    <t>NV-IMA-Institutt</t>
  </si>
  <si>
    <t>NV-IMA-XRD</t>
  </si>
  <si>
    <t>NV-IMA-EM-lab</t>
  </si>
  <si>
    <t>NV-IMA-FACET</t>
  </si>
  <si>
    <t>NV-IMA-Felles  lab</t>
  </si>
  <si>
    <t>NV-IMA-REM</t>
  </si>
  <si>
    <t>NV-IMA-FysMet</t>
  </si>
  <si>
    <t>NV-IMA-Elektrokjemi</t>
  </si>
  <si>
    <t>NV-IMA-APT</t>
  </si>
  <si>
    <t>NV-IMA-SPS</t>
  </si>
  <si>
    <t>NV-IMA-GDMS/GDOES</t>
  </si>
  <si>
    <t>NV-IMA-BET</t>
  </si>
  <si>
    <t>NV-IMA-Consarq</t>
  </si>
  <si>
    <t>NV-IMA-Varmelab</t>
  </si>
  <si>
    <t>NV-IMA-PLDS-lab</t>
  </si>
  <si>
    <t>NV-IMA-SPM-lab</t>
  </si>
  <si>
    <t>NV-IMA-SSB-lab</t>
  </si>
  <si>
    <t>NV-IMA-SFI-Metal Pro</t>
  </si>
  <si>
    <t>NV-IMA-SFI-PhysMet</t>
  </si>
  <si>
    <t>NV-IBF-Institutt</t>
  </si>
  <si>
    <t>NV-IBF-CEMIR</t>
  </si>
  <si>
    <t>NV-IBF-LK 21</t>
  </si>
  <si>
    <t>NV-IBA-Institutt</t>
  </si>
  <si>
    <t>NV-IBA-Laksekonsesj.</t>
  </si>
  <si>
    <t>NV-IBA-Forskerlab</t>
  </si>
  <si>
    <t>NV-FFI-NTNU</t>
  </si>
  <si>
    <t>NV-FFI-NTNU-Nanolab</t>
  </si>
  <si>
    <t>NV-FFI-NTNU-Sealab</t>
  </si>
  <si>
    <t>NV-FFI-NTNU-Gunnerus</t>
  </si>
  <si>
    <t>Koststeder</t>
  </si>
  <si>
    <t>Lønnstrinn</t>
  </si>
  <si>
    <t>Brutto årslønn i kr</t>
  </si>
  <si>
    <t>Sosiale kostn. - Sone 1</t>
  </si>
  <si>
    <t>Totale dir. kostnader</t>
  </si>
  <si>
    <t>TEK</t>
  </si>
  <si>
    <t>ADMIN</t>
  </si>
  <si>
    <t>Stipendiat</t>
  </si>
  <si>
    <t>Prosjektleder</t>
  </si>
  <si>
    <t>Professor eller førsteaman.</t>
  </si>
  <si>
    <t>Postdoc</t>
  </si>
  <si>
    <t>Forsker</t>
  </si>
  <si>
    <t>Tekniker</t>
  </si>
  <si>
    <t>Assisterende prosjektleder</t>
  </si>
  <si>
    <t>Administrativ ressurs</t>
  </si>
  <si>
    <t>Begrep</t>
  </si>
  <si>
    <t>Rundsum</t>
  </si>
  <si>
    <t>Nei</t>
  </si>
  <si>
    <t>Prosjekttittel</t>
  </si>
  <si>
    <t>Prosjekttype</t>
  </si>
  <si>
    <t>Hovedfinansieringsskilde</t>
  </si>
  <si>
    <t>Deltaker 2</t>
  </si>
  <si>
    <t>Deltaker 3</t>
  </si>
  <si>
    <t>Deltaker 4</t>
  </si>
  <si>
    <t>Vitensk./Tekn.adm</t>
  </si>
  <si>
    <t>Vitenskapelig</t>
  </si>
  <si>
    <t>Tekn./adm</t>
  </si>
  <si>
    <t>Prosentsats for sosiale kostnader</t>
  </si>
  <si>
    <t>Utg.pkt. lønn 1000</t>
  </si>
  <si>
    <t>Feriepenger</t>
  </si>
  <si>
    <t>Pensjonsavg.</t>
  </si>
  <si>
    <t>AGA</t>
  </si>
  <si>
    <t>Årslønn</t>
  </si>
  <si>
    <t>FP-grunnlag</t>
  </si>
  <si>
    <t>Sum kostnad (ex. Gr.liv)</t>
  </si>
  <si>
    <t>AGA &gt; 750'</t>
  </si>
  <si>
    <t xml:space="preserve">Årslønn &gt; </t>
  </si>
  <si>
    <t>NTNU-enheter som deltar (alle involverte enheter må angis her)</t>
  </si>
  <si>
    <t>Tot. timer (i hele prosj.)</t>
  </si>
  <si>
    <t>Vitenskapelige</t>
  </si>
  <si>
    <t>BOA</t>
  </si>
  <si>
    <t>EVU</t>
  </si>
  <si>
    <t>Tekn./adm.</t>
  </si>
  <si>
    <t>Arb.plass</t>
  </si>
  <si>
    <t>Totalkostnad</t>
  </si>
  <si>
    <t>Vit./Tekn.Adm</t>
  </si>
  <si>
    <t>Dir.kost</t>
  </si>
  <si>
    <t>Indir. Kost</t>
  </si>
  <si>
    <t>Personalkostnader</t>
  </si>
  <si>
    <t>Andel</t>
  </si>
  <si>
    <t>Start</t>
  </si>
  <si>
    <t>Slutt</t>
  </si>
  <si>
    <t>Dir. kostn.</t>
  </si>
  <si>
    <t>Indir. Kostn.</t>
  </si>
  <si>
    <t>Rundsumsatser NFR</t>
  </si>
  <si>
    <t>Just. år 1</t>
  </si>
  <si>
    <t>Just. år 2</t>
  </si>
  <si>
    <t>Kostnadskateg.</t>
  </si>
  <si>
    <t>Konto</t>
  </si>
  <si>
    <t>Betegnelse</t>
  </si>
  <si>
    <t>NTNU Totalt</t>
  </si>
  <si>
    <t>Prosjektets økonomiske effekt (samspill)</t>
  </si>
  <si>
    <t>Egenfinansieringsandel (%)</t>
  </si>
  <si>
    <t>Årsverksatser</t>
  </si>
  <si>
    <t>Hovedansvarlig</t>
  </si>
  <si>
    <t>Type tilbud (Etter- eller videreutd.)</t>
  </si>
  <si>
    <t>Forventet antall studenter</t>
  </si>
  <si>
    <t>Ansvarlig enhet</t>
  </si>
  <si>
    <t>NTNU Videre</t>
  </si>
  <si>
    <t>Økonomisk/Ikke-øk. Aktivitet?</t>
  </si>
  <si>
    <t>Studiepoeng (hvis videreutd.)</t>
  </si>
  <si>
    <t>Antall undervisningstimer</t>
  </si>
  <si>
    <t>Egenbetaling fra student</t>
  </si>
  <si>
    <t>KDs finansieringskategori</t>
  </si>
  <si>
    <t>Unntak i egenbetalingsforskr.</t>
  </si>
  <si>
    <t>Lønn for arbeidstakere i staten gjeldende fra 1. mai 2023</t>
  </si>
  <si>
    <t>Oppdatert med lønnsoppgjøret 2023</t>
  </si>
  <si>
    <t>EVUBEV budsjettmal omarbeidet for å lette input til Unit4</t>
  </si>
  <si>
    <t>Ansatt (navn)</t>
  </si>
  <si>
    <t>Tekst</t>
  </si>
  <si>
    <t>Beregnet inntekt (studentbetaling)</t>
  </si>
  <si>
    <t>Uten særskilt honorering</t>
  </si>
  <si>
    <t>9502 Frikjøp - DA (Rammelønnet)</t>
  </si>
  <si>
    <t>9504 Timeføring - DA (Rammelønnet)</t>
  </si>
  <si>
    <t>Vitensk./Tekn.adm.</t>
  </si>
  <si>
    <t>Periode fra (ÅÅÅÅMM)</t>
  </si>
  <si>
    <t>Periode til (ÅÅÅÅMM)</t>
  </si>
  <si>
    <t>Timer pr. mnd</t>
  </si>
  <si>
    <t>Årsverk (I % av årsverk)</t>
  </si>
  <si>
    <t>Arbeid som honoreres særskilt</t>
  </si>
  <si>
    <t>5330 - Konsulenthon. Trekkpl.</t>
  </si>
  <si>
    <t>Arbeid uten særskilt honorering (Timeføring/frikjøp)</t>
  </si>
  <si>
    <t>Driftskostnader</t>
  </si>
  <si>
    <t>Finans. av kostnader NTNU Videre</t>
  </si>
  <si>
    <t>Indirekte kostnader studenter</t>
  </si>
  <si>
    <t>5331 - Konsulent - selvst. nær.driv</t>
  </si>
  <si>
    <t>6585 -Driftsrekvisita</t>
  </si>
  <si>
    <t>6800 -Møtekostnader</t>
  </si>
  <si>
    <t>6890 - Annen kontorkostnad</t>
  </si>
  <si>
    <t>7100 - Reisekostnader</t>
  </si>
  <si>
    <t>9192 - Budsjett interne kostn.</t>
  </si>
  <si>
    <t>9532 - Leiestedskostnader</t>
  </si>
  <si>
    <t>År</t>
  </si>
  <si>
    <t>Måned</t>
  </si>
  <si>
    <t>Ant. Perioder</t>
  </si>
  <si>
    <t>Måneder</t>
  </si>
  <si>
    <t>Årslønn (pr. nå)</t>
  </si>
  <si>
    <t>Lønn 2024</t>
  </si>
  <si>
    <t>Lønn 2025</t>
  </si>
  <si>
    <t>Avtalt honorar
- Forutsetn. flat period., 
kan evt. endres  ved registrering i EVUPRO</t>
  </si>
  <si>
    <t>Dir. kostnad
- inkl. sosiale kostnader</t>
  </si>
  <si>
    <t>Angi årslønn (pr. nå)</t>
  </si>
  <si>
    <t>Totale kostnader TDI</t>
  </si>
  <si>
    <t>Totalt</t>
  </si>
  <si>
    <t>SP</t>
  </si>
  <si>
    <r>
      <rPr>
        <b/>
        <sz val="12"/>
        <color theme="1"/>
        <rFont val="Calibri"/>
        <family val="2"/>
        <scheme val="minor"/>
      </rPr>
      <t>Kostnad</t>
    </r>
    <r>
      <rPr>
        <b/>
        <sz val="11"/>
        <color theme="1"/>
        <rFont val="Calibri"/>
        <family val="2"/>
        <scheme val="minor"/>
      </rPr>
      <t xml:space="preserve">
- Forutsetn. Periodiseirng;
- - NTNU Videre ved oppstart
- - Øvrige kostnader - flat period., 
kan evt. endres  ved registrering i EVUPRO</t>
    </r>
  </si>
  <si>
    <t>Total studentbetaling</t>
  </si>
  <si>
    <t>Studentbetaling</t>
  </si>
  <si>
    <t>Prosjektstart (ÅÅÅÅMM)
 - normalt innevær. Måned</t>
  </si>
  <si>
    <t>Sluttperiode (ÅÅÅÅMM)</t>
  </si>
  <si>
    <t>Startperiode</t>
  </si>
  <si>
    <t>Sluttperiode</t>
  </si>
  <si>
    <t>Inntekt fra indirekte kostnader</t>
  </si>
  <si>
    <t xml:space="preserve">Inntekt fra lønnsoverføring </t>
  </si>
  <si>
    <r>
      <t>Forventet overskudd koststed (</t>
    </r>
    <r>
      <rPr>
        <sz val="10"/>
        <color rgb="FFFF0000"/>
        <rFont val="Arial"/>
        <family val="2"/>
      </rPr>
      <t>evt. undersk. i rødt)</t>
    </r>
  </si>
  <si>
    <t>Forventet fortjeneste (%)</t>
  </si>
  <si>
    <t>Inntil løsning for EVUBEV (og prosjekttypene E1 og E2) er implementert i Unit4 budsjetteres ikke EVU som ikke er BOA</t>
  </si>
  <si>
    <t>Korrigert koststed for NTNU Videre</t>
  </si>
  <si>
    <t>Fjernet gruppering av registreringslinjer på kostnadsbudsjettet</t>
  </si>
  <si>
    <t>Inkludert indirekte kostnader studenter i Samspillet (var tidligere avglemt)</t>
  </si>
  <si>
    <t>Skal underv. skje i NTNU-lokaler?</t>
  </si>
  <si>
    <t>Hvis Ja - på Campus eller i Oslo?</t>
  </si>
  <si>
    <t>Husleie (pr. kvm)</t>
  </si>
  <si>
    <t>Campus (internhusleie)</t>
  </si>
  <si>
    <t>Oslo</t>
  </si>
  <si>
    <t>Ant. undervisn.timer pr student</t>
  </si>
  <si>
    <t>Rettet en feil som gjorde at det ble feilmelding på personalkostnader hvis en person startet sitt arbeid i år 2 (dvs. 2024 når prosjektet startet i 2023)</t>
  </si>
  <si>
    <t>Økt antall linjer for registrering av særskilt honorering egne ansatte (konto 5330)</t>
  </si>
  <si>
    <t>Lagt inn formel som sikrer at det blir riktige totale driftskostnader</t>
  </si>
  <si>
    <t>Infl.just. Lønn (sats fom år 2 - dvs. for 2024 er det sats fom. 2025)</t>
  </si>
  <si>
    <t>Regulering av TDI-satser</t>
  </si>
  <si>
    <t>Arb.pl</t>
  </si>
  <si>
    <t>Forskning</t>
  </si>
  <si>
    <t>Året</t>
  </si>
  <si>
    <t>Akkum.</t>
  </si>
  <si>
    <t>Utdanning</t>
  </si>
  <si>
    <t>Perioder fra 2601</t>
  </si>
  <si>
    <t>Lønn 2026</t>
  </si>
  <si>
    <t>Ola Dunk</t>
  </si>
  <si>
    <t>2023_v1</t>
  </si>
  <si>
    <t>2023_v2</t>
  </si>
  <si>
    <t>2023_v3</t>
  </si>
  <si>
    <t>2024_v1</t>
  </si>
  <si>
    <t>Korrigerte en feil som ga feil kostnader på Finans.- og beslutningsfane dersom det ikke skulle være undervisning i NTNUs lokaler</t>
  </si>
  <si>
    <t>Oppdatert med riktige indirekte kostnader for 2024, samt siste opplysninger om forventet lønnsutvikling og utvikling i indirekte kostnader fra 2025 og fremover</t>
  </si>
  <si>
    <t>2024_v2</t>
  </si>
  <si>
    <t>Endret koststed for "NTNU Videre" - nytt koststed 16901505 - EVU-kurs</t>
  </si>
  <si>
    <t>Oppdatert koststedslisten for NTNU basert på liste publisert 10.6.24</t>
  </si>
  <si>
    <t>Ford.bal og usikmarg</t>
  </si>
  <si>
    <t>RE-STAB</t>
  </si>
  <si>
    <t>FO-Prorek forskning</t>
  </si>
  <si>
    <t>FO-UB adm</t>
  </si>
  <si>
    <t>FO-UB BKI</t>
  </si>
  <si>
    <t>FO-UB FDA</t>
  </si>
  <si>
    <t>FO-UB UL</t>
  </si>
  <si>
    <t>FO-UB SRD</t>
  </si>
  <si>
    <t>FO-UB KIK</t>
  </si>
  <si>
    <t>UTD-Prorek utdanning</t>
  </si>
  <si>
    <t>OI-Dir org og infra</t>
  </si>
  <si>
    <t>OI-Universitetsavisa</t>
  </si>
  <si>
    <t>OI-Dig.programmet</t>
  </si>
  <si>
    <t>OI-FIE</t>
  </si>
  <si>
    <t>OI-DOKU</t>
  </si>
  <si>
    <t>OI-HRHMS</t>
  </si>
  <si>
    <t>OI-HRHMS Fellestilt</t>
  </si>
  <si>
    <t>OI-HRHMS Sek HRFA</t>
  </si>
  <si>
    <t>OI-HRHMS HMS-B</t>
  </si>
  <si>
    <t>OI-HRHMS HMS-B BHT</t>
  </si>
  <si>
    <t>OI-HRHMS HR NTNU</t>
  </si>
  <si>
    <t>OI-HRHMS Lønn HR-tj</t>
  </si>
  <si>
    <t>OI-IT-avdelingen</t>
  </si>
  <si>
    <t>OI-IT Infrastruktur</t>
  </si>
  <si>
    <t>OI-IT Applikasjon</t>
  </si>
  <si>
    <t>OI-IT Klient</t>
  </si>
  <si>
    <t>OI-IT Nett</t>
  </si>
  <si>
    <t>OI-IT Server</t>
  </si>
  <si>
    <t>OI-IT Campus Ålesund</t>
  </si>
  <si>
    <t>OI-IT Idun e-infrast</t>
  </si>
  <si>
    <t>OI-IT Sigma2 HPC</t>
  </si>
  <si>
    <t>OI-IT Brukerstøtte</t>
  </si>
  <si>
    <t>OI-IT Campnære tjen</t>
  </si>
  <si>
    <t>OI-IT Mottakssenter</t>
  </si>
  <si>
    <t>OI-IT Nettbutikk</t>
  </si>
  <si>
    <t>OI-IT Forvaltning</t>
  </si>
  <si>
    <t>OI-IT Gr.l. IT</t>
  </si>
  <si>
    <t>OI-IT Fysisk campus</t>
  </si>
  <si>
    <t>OI-IT Samhandling</t>
  </si>
  <si>
    <t>OI-IT Utdanning</t>
  </si>
  <si>
    <t>OI-IT Styring</t>
  </si>
  <si>
    <t>OI-IT Forskning</t>
  </si>
  <si>
    <t>OI-IT Utvikling</t>
  </si>
  <si>
    <t>OI-IT Forsk.støtte</t>
  </si>
  <si>
    <t>OI-IT Strat styring</t>
  </si>
  <si>
    <t>OI-IT Komm lederst</t>
  </si>
  <si>
    <t>OI-IT Prosjekt</t>
  </si>
  <si>
    <t>OI-IT Ark og rådg</t>
  </si>
  <si>
    <t>OI-IT Dig sikkerhet</t>
  </si>
  <si>
    <t>OI-IT Campus Gjøvik</t>
  </si>
  <si>
    <t>OI-Kommunikasjonsavd</t>
  </si>
  <si>
    <t>OI-Grafisk senter</t>
  </si>
  <si>
    <t>OI-OK-LEDERST</t>
  </si>
  <si>
    <t>OI-OK-VIRKFA</t>
  </si>
  <si>
    <t>OI-OK-ANSINN</t>
  </si>
  <si>
    <t>OI-OK-REGPRO</t>
  </si>
  <si>
    <t>OI-OK-REGPRO-EU</t>
  </si>
  <si>
    <t>OI-EA Eiendomsdir</t>
  </si>
  <si>
    <t>OI-EA ED Seksjon</t>
  </si>
  <si>
    <t>OI-EA ED Nord</t>
  </si>
  <si>
    <t>OI-EA ED Sør</t>
  </si>
  <si>
    <t>OI-EA ED Øst</t>
  </si>
  <si>
    <t>OI-EA ED Øya</t>
  </si>
  <si>
    <t>OI-EA ED Kalvskinnet</t>
  </si>
  <si>
    <t>OI-EA BD Logistikk</t>
  </si>
  <si>
    <t>OI-EA ES Seksjon</t>
  </si>
  <si>
    <t>OI-EA ES Services.</t>
  </si>
  <si>
    <t>OI-EA ES LEIE-TRD</t>
  </si>
  <si>
    <t>OI-EA ES FDV</t>
  </si>
  <si>
    <t>OI-EA ES LEIE-GJO</t>
  </si>
  <si>
    <t>OI-EA ES LEIE-AAL</t>
  </si>
  <si>
    <t>OI-EA ES EFV</t>
  </si>
  <si>
    <t>OI-EA VE Seksjon</t>
  </si>
  <si>
    <t>OI-EA VE Bygg</t>
  </si>
  <si>
    <t>OI-EA VE Elektro</t>
  </si>
  <si>
    <t>OI-EA VE VVS</t>
  </si>
  <si>
    <t>OI-EA VE Vakt Serv</t>
  </si>
  <si>
    <t>OI-EA VE Landskap</t>
  </si>
  <si>
    <t>OI-EA BE Seksjon</t>
  </si>
  <si>
    <t>OI-EA BE Prosjekt</t>
  </si>
  <si>
    <t>OI-EA BE Efin. prosj</t>
  </si>
  <si>
    <t>OI-EA BE Bfin. prosj</t>
  </si>
  <si>
    <t>OI-EA BE SEU</t>
  </si>
  <si>
    <t>OI-EA Støttetjen.</t>
  </si>
  <si>
    <t>OI-EA-VU Prosjekt</t>
  </si>
  <si>
    <t>OI-EA-VU Bygg</t>
  </si>
  <si>
    <t>OI-EA-VU Elektro</t>
  </si>
  <si>
    <t>OI-EA-VU VVS</t>
  </si>
  <si>
    <t>OI-EA-VU Vakt og service</t>
  </si>
  <si>
    <t>OI-EA-VU Landskap</t>
  </si>
  <si>
    <t>OI-EA-VU SEU</t>
  </si>
  <si>
    <t>OI-NTNU CU</t>
  </si>
  <si>
    <t>OI-AUV</t>
  </si>
  <si>
    <t>OI-AUV-VIRK</t>
  </si>
  <si>
    <t>OI-AUV-VIRK-VE</t>
  </si>
  <si>
    <t>OI-AUV-VIRK-JR</t>
  </si>
  <si>
    <t>OI-AUV-VIRK-TF</t>
  </si>
  <si>
    <t>OI-AUV-ADF</t>
  </si>
  <si>
    <t>OI-AUV-ADF-FORV</t>
  </si>
  <si>
    <t>OI-AUV-ADF-KOMP</t>
  </si>
  <si>
    <t>OI-AUV-ADF-UTV</t>
  </si>
  <si>
    <t>OI-AUV-OT</t>
  </si>
  <si>
    <t>OI-AUV-OT-DIGI</t>
  </si>
  <si>
    <t>OI-AUV-OT-OL</t>
  </si>
  <si>
    <t>OI-AUV-OT-PP</t>
  </si>
  <si>
    <t>OI-AUV-SOB</t>
  </si>
  <si>
    <t>OI-Avd for utdanning</t>
  </si>
  <si>
    <t>AUD-SLD-felles</t>
  </si>
  <si>
    <t>AUD-SLD-FS-eksamen</t>
  </si>
  <si>
    <t>AUD-SLD-timep areal</t>
  </si>
  <si>
    <t>AUD-SLD-læringsstøtt</t>
  </si>
  <si>
    <t>AUD-SLD-konferanser</t>
  </si>
  <si>
    <t>AUD-SLD-konf.virks</t>
  </si>
  <si>
    <t>AUD-SUL-felles</t>
  </si>
  <si>
    <t>AUD-SUL-EVU</t>
  </si>
  <si>
    <t>AUD-SUL-portef kval</t>
  </si>
  <si>
    <t>AUD-SUL-tilr stud.dem</t>
  </si>
  <si>
    <t>AUD-SUL-EVU kurs</t>
  </si>
  <si>
    <t>AUD-SOI-felles</t>
  </si>
  <si>
    <t>AUD-SOI-opptak</t>
  </si>
  <si>
    <t>AUD-SOI-int rel</t>
  </si>
  <si>
    <t>OI-AUD-Ålesund</t>
  </si>
  <si>
    <t>OI-AUD-Gjøvik</t>
  </si>
  <si>
    <t>NY-Prorek nyskaping</t>
  </si>
  <si>
    <t>VRG-Viserek Gjøvik</t>
  </si>
  <si>
    <t>VRG-Eiendom drift</t>
  </si>
  <si>
    <t>VRG-Driftsenheter</t>
  </si>
  <si>
    <t>VRA-Viserek Ålesund</t>
  </si>
  <si>
    <t>VRA-Eiendom drift</t>
  </si>
  <si>
    <t>VRA-Driftsenheter</t>
  </si>
  <si>
    <t>ØK - fak felles</t>
  </si>
  <si>
    <t>ØK - fak adm</t>
  </si>
  <si>
    <t>ØK - HHS</t>
  </si>
  <si>
    <t>ØK - IIF</t>
  </si>
  <si>
    <t>ØK - ISØ</t>
  </si>
  <si>
    <t>ØK - IØT - T</t>
  </si>
  <si>
    <t>ØK - IØT - cluster</t>
  </si>
  <si>
    <t>ØK - IØT - klimalab</t>
  </si>
  <si>
    <t>ØK - IØT - hms lab</t>
  </si>
  <si>
    <t>ØK - IØT - G</t>
  </si>
  <si>
    <t>ØK - IØT - E</t>
  </si>
  <si>
    <t>HF - FELLES</t>
  </si>
  <si>
    <t>IE - Adm</t>
  </si>
  <si>
    <t>IE - Felles</t>
  </si>
  <si>
    <t>IE - NSR</t>
  </si>
  <si>
    <t>IE - Nemonoor</t>
  </si>
  <si>
    <t>IE - IDI Colourlab Gjøvik</t>
  </si>
  <si>
    <t>IE - IDI COMP</t>
  </si>
  <si>
    <t>IE - IDI DART</t>
  </si>
  <si>
    <t>IE - IDI ISSE</t>
  </si>
  <si>
    <t>IE - IDI ISA Gjøvik</t>
  </si>
  <si>
    <t>IE - IDI stab administrasjon</t>
  </si>
  <si>
    <t>IE - IDI stab teknisk</t>
  </si>
  <si>
    <t>IE - IDI Comp L</t>
  </si>
  <si>
    <t>IE - IDI Leie Color</t>
  </si>
  <si>
    <t>IE - IEL Leie lab</t>
  </si>
  <si>
    <t>IE - IEL Leie celle</t>
  </si>
  <si>
    <t>IE - IEL Leie ELA</t>
  </si>
  <si>
    <t>IE - IEL Leie smart</t>
  </si>
  <si>
    <t>IE - IEL Leie verk</t>
  </si>
  <si>
    <t>IE - ITK Leie forsk</t>
  </si>
  <si>
    <t>IE - ITK Leie verk</t>
  </si>
  <si>
    <t>IE - ITK Leie robot</t>
  </si>
  <si>
    <t>IE - ITK SFI Autosh.</t>
  </si>
  <si>
    <t>IE - IIK Leie forens</t>
  </si>
  <si>
    <t>IE - IIK Leie biomet</t>
  </si>
  <si>
    <t>IE - IIK Leie cisco</t>
  </si>
  <si>
    <t>IE - IIK Leie NCR</t>
  </si>
  <si>
    <t>IE- IIK Leie server</t>
  </si>
  <si>
    <t>IE - IIK Leie IoT</t>
  </si>
  <si>
    <t>IE - IES Admin</t>
  </si>
  <si>
    <t>IE - IES Teknisk</t>
  </si>
  <si>
    <t>IE - IES Nanofoton.</t>
  </si>
  <si>
    <t>IE - IES Kr. og rtek</t>
  </si>
  <si>
    <t>IE - IES Signalbeh.</t>
  </si>
  <si>
    <t>IE - IES Sm Wireless</t>
  </si>
  <si>
    <t>IE - IES Leie Gløs</t>
  </si>
  <si>
    <t>IE - IES Leie Gjøvik</t>
  </si>
  <si>
    <t>IE - IES Leie Utd</t>
  </si>
  <si>
    <t>IE - IES Leie LivLab</t>
  </si>
  <si>
    <t>IE - IIR Felles</t>
  </si>
  <si>
    <t>IE - IIR Data</t>
  </si>
  <si>
    <t>IE - IIR Automasjon</t>
  </si>
  <si>
    <t>IE - IIR Leie Vislab</t>
  </si>
  <si>
    <t>IE - IIR Leie Data</t>
  </si>
  <si>
    <t>IE - IIR Leie Auto</t>
  </si>
  <si>
    <t>IV Fak Utdanning</t>
  </si>
  <si>
    <t>IV EPT - Dataleiest.</t>
  </si>
  <si>
    <t>IV EPT - Gen. lab</t>
  </si>
  <si>
    <t>IV MTP - Manulab Rob</t>
  </si>
  <si>
    <t>IV IHB - Fjordlab Ålesund</t>
  </si>
  <si>
    <t>IV IHB - Møreoc. lab</t>
  </si>
  <si>
    <t>HUNT</t>
  </si>
  <si>
    <t>HUNT databank/forv.</t>
  </si>
  <si>
    <t>HUNT biobank</t>
  </si>
  <si>
    <t>HUNT IT og komm.</t>
  </si>
  <si>
    <t>HUNT CLOUD</t>
  </si>
  <si>
    <t>MH-INB-FAEF</t>
  </si>
  <si>
    <t>MH-INB-GEMS</t>
  </si>
  <si>
    <t>MH-INB-NORHEAD</t>
  </si>
  <si>
    <t>MH-KIN-Cogno</t>
  </si>
  <si>
    <t>MH-KIN-Zong</t>
  </si>
  <si>
    <t>NV ADM - Stab</t>
  </si>
  <si>
    <t>NV-Gjærevollsenteret</t>
  </si>
  <si>
    <t>NV-IBI Institutt</t>
  </si>
  <si>
    <t>NV-IKJ-GPC/SEC</t>
  </si>
  <si>
    <t>NV-IKJ-A.R.Services</t>
  </si>
  <si>
    <t>NV-IKJ Tot.Hg-anal.</t>
  </si>
  <si>
    <t>NV-IKJ MetylHg-anal.</t>
  </si>
  <si>
    <t>NV-IKP-XPS-SEM</t>
  </si>
  <si>
    <t>IBF Cellelab</t>
  </si>
  <si>
    <t>SU-fak felles</t>
  </si>
  <si>
    <t>SU-adm</t>
  </si>
  <si>
    <t>SU-IGE</t>
  </si>
  <si>
    <t>SU-IGE GIS-lab</t>
  </si>
  <si>
    <t>SU-ISS</t>
  </si>
  <si>
    <t>SU-IPS</t>
  </si>
  <si>
    <t>SU-IPS leiested</t>
  </si>
  <si>
    <t>SU-IPS TtiT</t>
  </si>
  <si>
    <t>SU-SA</t>
  </si>
  <si>
    <t>SU-IPL</t>
  </si>
  <si>
    <t>SU-IPL VRLAB</t>
  </si>
  <si>
    <t>SU-Uniped</t>
  </si>
  <si>
    <t>SU-ILU</t>
  </si>
  <si>
    <t>SU-ILU Praksis</t>
  </si>
  <si>
    <t>SU-ILU Sensur</t>
  </si>
  <si>
    <t>SU-ILU Studenttiltak</t>
  </si>
  <si>
    <t>SU-ILU SL</t>
  </si>
  <si>
    <t>SU-ILU NSM</t>
  </si>
  <si>
    <t>SU-ILU NSS</t>
  </si>
  <si>
    <t>SU-ISA</t>
  </si>
  <si>
    <t>VM - Adm og felles</t>
  </si>
  <si>
    <t>VM - UPS</t>
  </si>
  <si>
    <t>VM - NLD</t>
  </si>
  <si>
    <t>VM - NLD AMS</t>
  </si>
  <si>
    <t>VM - NLD Dendrokrono</t>
  </si>
  <si>
    <t>VM - NLD Stab. isot</t>
  </si>
  <si>
    <t>VM - IAK</t>
  </si>
  <si>
    <t>VM - IAK Konserv</t>
  </si>
  <si>
    <t>VM - IAK GIS/Geo/Mar</t>
  </si>
  <si>
    <t>VM - INH</t>
  </si>
  <si>
    <t>VM - INH NorBOL</t>
  </si>
  <si>
    <t>VM - INH Øko-mikrol.</t>
  </si>
  <si>
    <t>VM - INH Telemet.båt</t>
  </si>
  <si>
    <t>VM - INH Molekylærl.</t>
  </si>
  <si>
    <t>VM - INH Videooverv.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</si>
</sst>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 * #,##0_ ;_ * \-#,##0_ ;_ * &quot;-&quot;??_ ;_ @_ "/>
    <numFmt numFmtId="165" formatCode="_-* #,##0_-;\-* #,##0_-;_-* &quot;-&quot;??_-;_-@_-"/>
    <numFmt numFmtId="166" formatCode="0.0\ %"/>
    <numFmt numFmtId="167" formatCode="_-* #,##0.000_-;\-* #,##0.000_-;_-* &quot;-&quot;??_-;_-@_-"/>
    <numFmt numFmtId="168" formatCode="_ * #,##0.00_ ;_ * \-#,##0.00_ ;_ * &quot;-&quot;??_ ;_ @_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name val="Times New Roman"/>
      <family val="1"/>
    </font>
    <font>
      <b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0"/>
      <color theme="2" tint="-0.499984740745262"/>
      <name val="Arial"/>
      <family val="2"/>
    </font>
    <font>
      <sz val="10"/>
      <color rgb="FFFF0000"/>
      <name val="Arial"/>
      <family val="2"/>
    </font>
    <font>
      <b/>
      <sz val="14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7" fillId="0" borderId="0"/>
    <xf numFmtId="0" fontId="7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7" fillId="0" borderId="0"/>
  </cellStyleXfs>
  <cellXfs count="114">
    <xf numFmtId="0" fontId="0" fillId="0" borderId="0" xfId="0"/>
    <xf numFmtId="0" fontId="2" fillId="0" borderId="0" xfId="0" applyFont="1"/>
    <xf numFmtId="0" fontId="3" fillId="0" borderId="0" xfId="0" applyFont="1"/>
    <xf numFmtId="3" fontId="0" fillId="0" borderId="0" xfId="0" applyNumberFormat="1"/>
    <xf numFmtId="0" fontId="8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165" fontId="0" fillId="0" borderId="0" xfId="1" applyNumberFormat="1" applyFont="1"/>
    <xf numFmtId="165" fontId="0" fillId="0" borderId="0" xfId="0" applyNumberFormat="1" applyAlignment="1">
      <alignment horizontal="center"/>
    </xf>
    <xf numFmtId="1" fontId="12" fillId="0" borderId="0" xfId="0" applyNumberFormat="1" applyFont="1"/>
    <xf numFmtId="43" fontId="0" fillId="0" borderId="0" xfId="1" applyFont="1"/>
    <xf numFmtId="43" fontId="2" fillId="0" borderId="0" xfId="1" applyFont="1" applyAlignment="1">
      <alignment horizontal="right"/>
    </xf>
    <xf numFmtId="43" fontId="2" fillId="0" borderId="2" xfId="1" applyFont="1" applyBorder="1"/>
    <xf numFmtId="43" fontId="0" fillId="0" borderId="2" xfId="1" applyFont="1" applyBorder="1"/>
    <xf numFmtId="43" fontId="0" fillId="0" borderId="0" xfId="1" applyFont="1" applyBorder="1"/>
    <xf numFmtId="9" fontId="0" fillId="0" borderId="0" xfId="6" applyFont="1"/>
    <xf numFmtId="166" fontId="0" fillId="0" borderId="0" xfId="6" applyNumberFormat="1" applyFont="1"/>
    <xf numFmtId="10" fontId="0" fillId="0" borderId="0" xfId="6" applyNumberFormat="1" applyFont="1"/>
    <xf numFmtId="0" fontId="12" fillId="0" borderId="0" xfId="0" applyFont="1"/>
    <xf numFmtId="165" fontId="0" fillId="0" borderId="0" xfId="0" applyNumberFormat="1"/>
    <xf numFmtId="166" fontId="0" fillId="0" borderId="0" xfId="0" applyNumberFormat="1"/>
    <xf numFmtId="0" fontId="16" fillId="0" borderId="0" xfId="0" applyFont="1"/>
    <xf numFmtId="14" fontId="0" fillId="0" borderId="0" xfId="0" applyNumberFormat="1"/>
    <xf numFmtId="165" fontId="0" fillId="7" borderId="0" xfId="1" applyNumberFormat="1" applyFont="1" applyFill="1"/>
    <xf numFmtId="166" fontId="0" fillId="7" borderId="0" xfId="6" applyNumberFormat="1" applyFont="1" applyFill="1"/>
    <xf numFmtId="165" fontId="2" fillId="7" borderId="0" xfId="1" applyNumberFormat="1" applyFont="1" applyFill="1" applyAlignment="1">
      <alignment horizontal="center"/>
    </xf>
    <xf numFmtId="10" fontId="0" fillId="7" borderId="0" xfId="0" applyNumberFormat="1" applyFill="1"/>
    <xf numFmtId="165" fontId="0" fillId="5" borderId="0" xfId="1" applyNumberFormat="1" applyFont="1" applyFill="1" applyProtection="1"/>
    <xf numFmtId="165" fontId="0" fillId="0" borderId="0" xfId="1" applyNumberFormat="1" applyFont="1" applyProtection="1"/>
    <xf numFmtId="0" fontId="13" fillId="0" borderId="0" xfId="0" applyFont="1"/>
    <xf numFmtId="0" fontId="14" fillId="0" borderId="0" xfId="0" applyFont="1"/>
    <xf numFmtId="165" fontId="14" fillId="0" borderId="0" xfId="1" applyNumberFormat="1" applyFont="1" applyProtection="1"/>
    <xf numFmtId="0" fontId="5" fillId="3" borderId="4" xfId="0" applyFont="1" applyFill="1" applyBorder="1" applyAlignment="1">
      <alignment horizontal="left" vertical="center" wrapText="1"/>
    </xf>
    <xf numFmtId="10" fontId="0" fillId="0" borderId="0" xfId="6" applyNumberFormat="1" applyFont="1" applyProtection="1"/>
    <xf numFmtId="0" fontId="0" fillId="4" borderId="0" xfId="0" applyFill="1"/>
    <xf numFmtId="167" fontId="0" fillId="0" borderId="0" xfId="1" applyNumberFormat="1" applyFont="1" applyProtection="1"/>
    <xf numFmtId="0" fontId="0" fillId="7" borderId="0" xfId="0" applyFill="1"/>
    <xf numFmtId="165" fontId="0" fillId="7" borderId="0" xfId="1" applyNumberFormat="1" applyFont="1" applyFill="1" applyProtection="1"/>
    <xf numFmtId="9" fontId="0" fillId="7" borderId="0" xfId="0" applyNumberFormat="1" applyFill="1"/>
    <xf numFmtId="0" fontId="0" fillId="5" borderId="11" xfId="0" applyFill="1" applyBorder="1" applyProtection="1">
      <protection locked="0"/>
    </xf>
    <xf numFmtId="0" fontId="0" fillId="5" borderId="0" xfId="0" applyFill="1" applyProtection="1">
      <protection locked="0"/>
    </xf>
    <xf numFmtId="0" fontId="0" fillId="5" borderId="12" xfId="0" applyFill="1" applyBorder="1" applyProtection="1">
      <protection locked="0"/>
    </xf>
    <xf numFmtId="165" fontId="2" fillId="0" borderId="0" xfId="1" applyNumberFormat="1" applyFont="1" applyProtection="1"/>
    <xf numFmtId="165" fontId="4" fillId="0" borderId="0" xfId="1" applyNumberFormat="1" applyFont="1" applyProtection="1"/>
    <xf numFmtId="2" fontId="0" fillId="5" borderId="0" xfId="0" applyNumberFormat="1" applyFill="1" applyProtection="1">
      <protection locked="0"/>
    </xf>
    <xf numFmtId="164" fontId="5" fillId="5" borderId="1" xfId="2" applyNumberFormat="1" applyFill="1" applyBorder="1" applyProtection="1">
      <protection locked="0"/>
    </xf>
    <xf numFmtId="3" fontId="0" fillId="4" borderId="0" xfId="0" applyNumberFormat="1" applyFill="1"/>
    <xf numFmtId="0" fontId="0" fillId="0" borderId="0" xfId="0" applyAlignment="1">
      <alignment horizontal="right"/>
    </xf>
    <xf numFmtId="165" fontId="0" fillId="5" borderId="0" xfId="1" applyNumberFormat="1" applyFont="1" applyFill="1" applyProtection="1">
      <protection locked="0"/>
    </xf>
    <xf numFmtId="43" fontId="0" fillId="0" borderId="0" xfId="1" applyFont="1" applyFill="1"/>
    <xf numFmtId="165" fontId="2" fillId="0" borderId="0" xfId="1" applyNumberFormat="1" applyFont="1" applyAlignment="1" applyProtection="1">
      <alignment wrapText="1"/>
    </xf>
    <xf numFmtId="0" fontId="0" fillId="5" borderId="0" xfId="1" applyNumberFormat="1" applyFont="1" applyFill="1" applyProtection="1">
      <protection locked="0"/>
    </xf>
    <xf numFmtId="0" fontId="2" fillId="0" borderId="5" xfId="0" applyFont="1" applyBorder="1"/>
    <xf numFmtId="0" fontId="0" fillId="0" borderId="6" xfId="0" applyBorder="1"/>
    <xf numFmtId="0" fontId="2" fillId="0" borderId="7" xfId="0" applyFont="1" applyBorder="1"/>
    <xf numFmtId="0" fontId="0" fillId="0" borderId="8" xfId="0" applyBorder="1"/>
    <xf numFmtId="0" fontId="0" fillId="0" borderId="8" xfId="0" applyBorder="1" applyAlignment="1">
      <alignment horizontal="left"/>
    </xf>
    <xf numFmtId="0" fontId="2" fillId="0" borderId="9" xfId="0" applyFont="1" applyBorder="1"/>
    <xf numFmtId="0" fontId="0" fillId="0" borderId="10" xfId="0" applyBorder="1"/>
    <xf numFmtId="165" fontId="2" fillId="0" borderId="0" xfId="1" applyNumberFormat="1" applyFont="1" applyFill="1" applyProtection="1"/>
    <xf numFmtId="165" fontId="19" fillId="0" borderId="0" xfId="1" applyNumberFormat="1" applyFont="1" applyFill="1" applyProtection="1"/>
    <xf numFmtId="0" fontId="15" fillId="0" borderId="0" xfId="0" applyFont="1"/>
    <xf numFmtId="165" fontId="15" fillId="0" borderId="0" xfId="1" applyNumberFormat="1" applyFont="1" applyFill="1" applyProtection="1"/>
    <xf numFmtId="0" fontId="4" fillId="0" borderId="0" xfId="0" applyFont="1"/>
    <xf numFmtId="0" fontId="0" fillId="9" borderId="0" xfId="0" applyFill="1"/>
    <xf numFmtId="14" fontId="0" fillId="9" borderId="0" xfId="0" applyNumberFormat="1" applyFill="1"/>
    <xf numFmtId="0" fontId="0" fillId="8" borderId="0" xfId="0" applyFill="1"/>
    <xf numFmtId="2" fontId="0" fillId="8" borderId="0" xfId="0" applyNumberFormat="1" applyFill="1"/>
    <xf numFmtId="165" fontId="0" fillId="0" borderId="0" xfId="1" applyNumberFormat="1" applyFont="1" applyFill="1" applyProtection="1"/>
    <xf numFmtId="165" fontId="8" fillId="0" borderId="0" xfId="0" applyNumberFormat="1" applyFont="1"/>
    <xf numFmtId="0" fontId="0" fillId="9" borderId="0" xfId="0" applyFill="1" applyProtection="1">
      <protection locked="0"/>
    </xf>
    <xf numFmtId="0" fontId="6" fillId="0" borderId="0" xfId="2" applyFont="1"/>
    <xf numFmtId="0" fontId="5" fillId="0" borderId="0" xfId="2"/>
    <xf numFmtId="0" fontId="5" fillId="0" borderId="0" xfId="2" applyAlignment="1">
      <alignment horizontal="right"/>
    </xf>
    <xf numFmtId="0" fontId="5" fillId="0" borderId="1" xfId="2" applyBorder="1"/>
    <xf numFmtId="0" fontId="5" fillId="0" borderId="1" xfId="2" applyBorder="1" applyAlignment="1">
      <alignment horizontal="right" wrapText="1"/>
    </xf>
    <xf numFmtId="164" fontId="5" fillId="0" borderId="1" xfId="2" applyNumberFormat="1" applyBorder="1" applyAlignment="1">
      <alignment horizontal="right"/>
    </xf>
    <xf numFmtId="164" fontId="5" fillId="0" borderId="0" xfId="2" applyNumberFormat="1" applyAlignment="1">
      <alignment horizontal="right"/>
    </xf>
    <xf numFmtId="0" fontId="5" fillId="0" borderId="0" xfId="2" applyAlignment="1">
      <alignment horizontal="center"/>
    </xf>
    <xf numFmtId="164" fontId="18" fillId="0" borderId="0" xfId="2" applyNumberFormat="1" applyFont="1" applyAlignment="1">
      <alignment horizontal="right"/>
    </xf>
    <xf numFmtId="0" fontId="5" fillId="0" borderId="3" xfId="2" applyBorder="1"/>
    <xf numFmtId="165" fontId="5" fillId="6" borderId="1" xfId="1" applyNumberFormat="1" applyFont="1" applyFill="1" applyBorder="1" applyProtection="1"/>
    <xf numFmtId="164" fontId="5" fillId="0" borderId="1" xfId="2" applyNumberFormat="1" applyBorder="1"/>
    <xf numFmtId="0" fontId="18" fillId="0" borderId="0" xfId="2" applyFont="1"/>
    <xf numFmtId="166" fontId="20" fillId="0" borderId="0" xfId="6" applyNumberFormat="1" applyFont="1" applyBorder="1" applyProtection="1"/>
    <xf numFmtId="166" fontId="5" fillId="0" borderId="0" xfId="6" applyNumberFormat="1" applyFont="1" applyBorder="1" applyProtection="1"/>
    <xf numFmtId="0" fontId="8" fillId="0" borderId="0" xfId="4" applyFont="1"/>
    <xf numFmtId="0" fontId="9" fillId="2" borderId="1" xfId="4" applyFont="1" applyFill="1" applyBorder="1"/>
    <xf numFmtId="164" fontId="9" fillId="2" borderId="1" xfId="4" applyNumberFormat="1" applyFont="1" applyFill="1" applyBorder="1"/>
    <xf numFmtId="0" fontId="7" fillId="0" borderId="1" xfId="4" applyBorder="1"/>
    <xf numFmtId="0" fontId="10" fillId="0" borderId="0" xfId="2" applyFont="1"/>
    <xf numFmtId="9" fontId="5" fillId="0" borderId="0" xfId="2" applyNumberFormat="1"/>
    <xf numFmtId="0" fontId="2" fillId="0" borderId="0" xfId="0" applyFont="1" applyAlignment="1">
      <alignment wrapText="1"/>
    </xf>
    <xf numFmtId="14" fontId="0" fillId="0" borderId="0" xfId="0" applyNumberFormat="1" applyAlignment="1">
      <alignment horizontal="left"/>
    </xf>
    <xf numFmtId="0" fontId="0" fillId="4" borderId="6" xfId="0" applyFill="1" applyBorder="1"/>
    <xf numFmtId="0" fontId="0" fillId="4" borderId="8" xfId="0" applyFill="1" applyBorder="1"/>
    <xf numFmtId="0" fontId="0" fillId="4" borderId="10" xfId="0" applyFill="1" applyBorder="1"/>
    <xf numFmtId="0" fontId="5" fillId="0" borderId="1" xfId="2" applyBorder="1" applyAlignment="1">
      <alignment horizontal="right"/>
    </xf>
    <xf numFmtId="0" fontId="5" fillId="0" borderId="0" xfId="2" applyAlignment="1">
      <alignment horizontal="left"/>
    </xf>
    <xf numFmtId="0" fontId="13" fillId="0" borderId="0" xfId="0" applyFont="1" applyAlignment="1">
      <alignment horizontal="left"/>
    </xf>
    <xf numFmtId="0" fontId="0" fillId="5" borderId="0" xfId="0" applyFill="1" applyAlignment="1" applyProtection="1">
      <alignment horizontal="left"/>
      <protection locked="0"/>
    </xf>
    <xf numFmtId="0" fontId="0" fillId="0" borderId="0" xfId="0" applyProtection="1">
      <protection locked="0"/>
    </xf>
    <xf numFmtId="165" fontId="0" fillId="0" borderId="0" xfId="1" applyNumberFormat="1" applyFont="1" applyProtection="1">
      <protection locked="0"/>
    </xf>
    <xf numFmtId="0" fontId="2" fillId="0" borderId="0" xfId="0" applyFont="1" applyProtection="1">
      <protection locked="0"/>
    </xf>
    <xf numFmtId="0" fontId="5" fillId="0" borderId="0" xfId="2" applyProtection="1">
      <protection locked="0"/>
    </xf>
    <xf numFmtId="0" fontId="22" fillId="0" borderId="0" xfId="0" applyFont="1" applyProtection="1">
      <protection locked="0"/>
    </xf>
    <xf numFmtId="0" fontId="22" fillId="0" borderId="0" xfId="0" applyFont="1" applyAlignment="1" applyProtection="1">
      <alignment horizontal="left" wrapText="1"/>
      <protection locked="0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left"/>
    </xf>
  </cellXfs>
  <cellStyles count="9">
    <cellStyle name="Comma" xfId="1" builtinId="3"/>
    <cellStyle name="Comma 2" xfId="3" xr:uid="{5861A9C4-7B4B-4B1E-B067-AD9D3CF6F19D}"/>
    <cellStyle name="Comma 3" xfId="7" xr:uid="{C764CB81-9756-4A84-8D21-3A7F475DCF09}"/>
    <cellStyle name="Normal" xfId="0" builtinId="0"/>
    <cellStyle name="Normal 2" xfId="2" xr:uid="{6C08F58E-9C5F-470A-A686-C6DC0AD4B005}"/>
    <cellStyle name="Normal 2 2" xfId="5" xr:uid="{53A4EAB6-9215-4F48-B5C9-54BF977342D2}"/>
    <cellStyle name="Normal 2 3" xfId="8" xr:uid="{EFDCDEC9-32D2-4C7C-B50E-EF7AD1AF8318}"/>
    <cellStyle name="Normal 3" xfId="4" xr:uid="{444F8628-C347-459C-A040-7DF5164E7C88}"/>
    <cellStyle name="Percent" xfId="6" builtinId="5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strike val="0"/>
      </font>
      <fill>
        <patternFill>
          <bgColor theme="4" tint="0.79998168889431442"/>
        </patternFill>
      </fill>
    </dxf>
    <dxf>
      <font>
        <strike val="0"/>
        <color theme="0"/>
      </font>
      <fill>
        <patternFill patternType="solid"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gradientFill degree="90">
          <stop position="0">
            <color theme="0"/>
          </stop>
          <stop position="1">
            <color theme="0"/>
          </stop>
        </gradientFill>
      </fill>
    </dxf>
  </dxfs>
  <tableStyles count="0" defaultTableStyle="TableStyleMedium2" defaultPivotStyle="PivotStyleLight16"/>
  <colors>
    <mruColors>
      <color rgb="FFF7DA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15</xdr:row>
      <xdr:rowOff>95250</xdr:rowOff>
    </xdr:from>
    <xdr:to>
      <xdr:col>4</xdr:col>
      <xdr:colOff>28575</xdr:colOff>
      <xdr:row>18</xdr:row>
      <xdr:rowOff>28575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33CD608-3B1E-2728-3ACE-73B09E715A3A}"/>
            </a:ext>
          </a:extLst>
        </xdr:cNvPr>
        <xdr:cNvSpPr txBox="1"/>
      </xdr:nvSpPr>
      <xdr:spPr>
        <a:xfrm>
          <a:off x="2838450" y="4248150"/>
          <a:ext cx="1790700" cy="504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Infoen i disse kolonnene</a:t>
          </a:r>
        </a:p>
        <a:p>
          <a:r>
            <a:rPr lang="nb-NO" sz="1100"/>
            <a:t> er for beregnings-formål</a:t>
          </a:r>
        </a:p>
      </xdr:txBody>
    </xdr:sp>
    <xdr:clientData/>
  </xdr:twoCellAnchor>
  <xdr:twoCellAnchor editAs="oneCell">
    <xdr:from>
      <xdr:col>24</xdr:col>
      <xdr:colOff>0</xdr:colOff>
      <xdr:row>19</xdr:row>
      <xdr:rowOff>0</xdr:rowOff>
    </xdr:from>
    <xdr:to>
      <xdr:col>31</xdr:col>
      <xdr:colOff>565747</xdr:colOff>
      <xdr:row>42</xdr:row>
      <xdr:rowOff>86596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5DDF7B8-F8CB-4F19-A1C8-25719AE5B0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878800" y="3810000"/>
          <a:ext cx="4632922" cy="45157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0</xdr:colOff>
      <xdr:row>2</xdr:row>
      <xdr:rowOff>0</xdr:rowOff>
    </xdr:from>
    <xdr:to>
      <xdr:col>27</xdr:col>
      <xdr:colOff>382830</xdr:colOff>
      <xdr:row>25</xdr:row>
      <xdr:rowOff>136028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90B2DF9-ECAC-585C-033A-BF4130468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061406" y="488156"/>
          <a:ext cx="4633362" cy="451752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e/ok/radg/Prosjektst&#248;tte/BOA/Budsjettmaler/2022/Gjeldende%20versjon/NFR_v6.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iledning"/>
      <sheetName val="1. Prosjektinfo"/>
      <sheetName val="2. Budsjettering - Direkte lønn"/>
      <sheetName val="3. Budsjettering - Timer"/>
      <sheetName val="4. Budsjettering -Drift"/>
      <sheetName val="5. Oppsummering Budsjett"/>
      <sheetName val="6. NFR-søknad"/>
      <sheetName val="7. Samspill BOA-BFV"/>
      <sheetName val="Oppslag"/>
    </sheetNames>
    <sheetDataSet>
      <sheetData sheetId="0" refreshError="1"/>
      <sheetData sheetId="1"/>
      <sheetData sheetId="2"/>
      <sheetData sheetId="3"/>
      <sheetData sheetId="4"/>
      <sheetData sheetId="5">
        <row r="15">
          <cell r="A15" t="str">
            <v>Direkte personalkostnader - rammelønnede</v>
          </cell>
        </row>
      </sheetData>
      <sheetData sheetId="6" refreshError="1"/>
      <sheetData sheetId="7" refreshError="1"/>
      <sheetData sheetId="8">
        <row r="3">
          <cell r="B3" t="str">
            <v>Stipendiat</v>
          </cell>
          <cell r="AX3" t="str">
            <v>År</v>
          </cell>
          <cell r="AY3" t="str">
            <v>Reisekostnader</v>
          </cell>
          <cell r="BA3" t="str">
            <v>Ja</v>
          </cell>
        </row>
        <row r="4">
          <cell r="B4" t="str">
            <v>Postdoktor</v>
          </cell>
          <cell r="AX4" t="str">
            <v>Måneder</v>
          </cell>
          <cell r="AY4" t="str">
            <v>Innkjøp av FoU-tjen.</v>
          </cell>
          <cell r="BA4" t="str">
            <v>Nei</v>
          </cell>
        </row>
        <row r="5">
          <cell r="B5" t="str">
            <v>Forsker</v>
          </cell>
          <cell r="AY5" t="str">
            <v>Andre leiested</v>
          </cell>
        </row>
        <row r="6">
          <cell r="B6" t="str">
            <v>Professor</v>
          </cell>
          <cell r="AY6" t="str">
            <v>Investeringer</v>
          </cell>
        </row>
        <row r="7">
          <cell r="B7" t="str">
            <v>Professor II</v>
          </cell>
          <cell r="AY7" t="str">
            <v>Eget leiested</v>
          </cell>
        </row>
        <row r="8">
          <cell r="B8" t="str">
            <v>Vitenskapelig assistent</v>
          </cell>
          <cell r="AY8" t="str">
            <v>Andre driftskostnader</v>
          </cell>
          <cell r="BA8" t="str">
            <v>NFR</v>
          </cell>
        </row>
        <row r="9">
          <cell r="B9" t="str">
            <v>Førsteamanuensis</v>
          </cell>
          <cell r="AY9" t="str">
            <v>Indir. Kostn. - studenter</v>
          </cell>
          <cell r="BA9" t="str">
            <v>RSO</v>
          </cell>
        </row>
        <row r="10">
          <cell r="B10" t="str">
            <v>Avdelingsingeniør</v>
          </cell>
          <cell r="BA10" t="str">
            <v>Nei</v>
          </cell>
        </row>
        <row r="11">
          <cell r="B11" t="str">
            <v>Førsteamanuensis II</v>
          </cell>
        </row>
        <row r="12">
          <cell r="B12" t="str">
            <v>Prosjektleder</v>
          </cell>
        </row>
        <row r="13">
          <cell r="B13" t="str">
            <v>Ingeniør</v>
          </cell>
        </row>
        <row r="14">
          <cell r="B14" t="str">
            <v>Hjelpearbeider</v>
          </cell>
          <cell r="S14" t="str">
            <v>Tekn./Adm. 7</v>
          </cell>
        </row>
        <row r="15">
          <cell r="B15" t="str">
            <v>Unge arbeidstakere</v>
          </cell>
          <cell r="S15" t="str">
            <v>Tekn./Adm. 6</v>
          </cell>
        </row>
        <row r="16">
          <cell r="B16" t="str">
            <v>Laboratorieassistent</v>
          </cell>
          <cell r="S16" t="str">
            <v>Tekn./Adm. 5</v>
          </cell>
        </row>
        <row r="17">
          <cell r="B17" t="str">
            <v>Lærling</v>
          </cell>
          <cell r="S17" t="str">
            <v>Tekn./Adm. 4</v>
          </cell>
        </row>
        <row r="18">
          <cell r="B18" t="str">
            <v>Lærling (reform  94)</v>
          </cell>
          <cell r="S18" t="str">
            <v>Tekn./Adm. 3</v>
          </cell>
        </row>
        <row r="19">
          <cell r="B19" t="str">
            <v>Sekretær</v>
          </cell>
          <cell r="S19" t="str">
            <v>Tekn./Adm. 2</v>
          </cell>
        </row>
        <row r="20">
          <cell r="B20" t="str">
            <v>Renholder</v>
          </cell>
          <cell r="S20" t="str">
            <v>Tekn./Adm. 1</v>
          </cell>
        </row>
        <row r="21">
          <cell r="B21" t="str">
            <v>Fullmektig</v>
          </cell>
          <cell r="S21" t="str">
            <v>Forsker 7</v>
          </cell>
        </row>
        <row r="22">
          <cell r="B22" t="str">
            <v>Førstefullmektig</v>
          </cell>
          <cell r="S22" t="str">
            <v>Forsker 6</v>
          </cell>
        </row>
        <row r="23">
          <cell r="B23" t="str">
            <v>Driftsoperatør</v>
          </cell>
          <cell r="S23" t="str">
            <v>Forsker 5</v>
          </cell>
        </row>
        <row r="24">
          <cell r="B24" t="str">
            <v>Driftstekniker</v>
          </cell>
          <cell r="S24" t="str">
            <v>Forsker 4</v>
          </cell>
        </row>
        <row r="25">
          <cell r="B25" t="str">
            <v>Førstesekretær</v>
          </cell>
          <cell r="S25" t="str">
            <v>Forsker 3</v>
          </cell>
        </row>
        <row r="26">
          <cell r="B26" t="str">
            <v>Fagarbeider m/fagbrev</v>
          </cell>
          <cell r="S26" t="str">
            <v>Forsker 2</v>
          </cell>
        </row>
        <row r="27">
          <cell r="B27" t="str">
            <v>Bibliotekar</v>
          </cell>
          <cell r="S27" t="str">
            <v>Forsker 1</v>
          </cell>
        </row>
        <row r="28">
          <cell r="B28" t="str">
            <v>Sjåfør</v>
          </cell>
        </row>
        <row r="29">
          <cell r="B29" t="str">
            <v>Renholdsleder</v>
          </cell>
        </row>
        <row r="30">
          <cell r="B30" t="str">
            <v>Tekniker</v>
          </cell>
        </row>
        <row r="31">
          <cell r="B31" t="str">
            <v>Driftsleder</v>
          </cell>
        </row>
        <row r="32">
          <cell r="B32" t="str">
            <v>Konsulent</v>
          </cell>
        </row>
        <row r="33">
          <cell r="B33" t="str">
            <v>Førstekonsulent</v>
          </cell>
        </row>
        <row r="34">
          <cell r="B34" t="str">
            <v>Spesialbibliotekar</v>
          </cell>
        </row>
        <row r="35">
          <cell r="B35" t="str">
            <v>Seniorkonsulent</v>
          </cell>
        </row>
        <row r="36">
          <cell r="B36" t="str">
            <v>Hovedbibliotekar</v>
          </cell>
        </row>
        <row r="37">
          <cell r="B37" t="str">
            <v>Overingeniør</v>
          </cell>
        </row>
        <row r="38">
          <cell r="B38" t="str">
            <v>Høgskolelærer/øvingslærer</v>
          </cell>
        </row>
        <row r="39">
          <cell r="B39" t="str">
            <v>Avdelingsleder</v>
          </cell>
        </row>
        <row r="40">
          <cell r="B40" t="str">
            <v>Rådgiver</v>
          </cell>
        </row>
        <row r="41">
          <cell r="B41" t="str">
            <v>Universitetslektor</v>
          </cell>
        </row>
        <row r="42">
          <cell r="B42" t="str">
            <v>Universitetslektor I</v>
          </cell>
        </row>
        <row r="43">
          <cell r="B43" t="str">
            <v>Avdelingssykepleier</v>
          </cell>
        </row>
        <row r="44">
          <cell r="B44" t="str">
            <v>Undervisningsleder</v>
          </cell>
        </row>
        <row r="45">
          <cell r="B45" t="str">
            <v>Universitetsbibliotekar</v>
          </cell>
        </row>
        <row r="46">
          <cell r="B46" t="str">
            <v>Bedriftsfysioterapeut</v>
          </cell>
        </row>
        <row r="47">
          <cell r="B47" t="str">
            <v>Bedriftssykepleier</v>
          </cell>
        </row>
        <row r="48">
          <cell r="B48" t="str">
            <v>Senioringeniør</v>
          </cell>
        </row>
        <row r="49">
          <cell r="B49" t="str">
            <v>Amanuensis</v>
          </cell>
        </row>
        <row r="50">
          <cell r="B50" t="str">
            <v>Førstebibliotekar</v>
          </cell>
        </row>
        <row r="51">
          <cell r="B51" t="str">
            <v>Høgskolelektor</v>
          </cell>
        </row>
        <row r="52">
          <cell r="B52" t="str">
            <v>Klinikkveterinær</v>
          </cell>
        </row>
        <row r="53">
          <cell r="B53" t="str">
            <v>Førstelektor</v>
          </cell>
        </row>
        <row r="54">
          <cell r="B54" t="str">
            <v>Kontorsjef</v>
          </cell>
        </row>
        <row r="55">
          <cell r="B55" t="str">
            <v>Seniorrådgiver</v>
          </cell>
        </row>
        <row r="56">
          <cell r="B56" t="str">
            <v>Sjefingeniør</v>
          </cell>
        </row>
        <row r="57">
          <cell r="B57" t="str">
            <v>Psykolog med godkjent spesiali</v>
          </cell>
        </row>
        <row r="58">
          <cell r="B58" t="str">
            <v>Seniorarkitekt</v>
          </cell>
        </row>
        <row r="59">
          <cell r="B59" t="str">
            <v>Seksjonssjef</v>
          </cell>
        </row>
        <row r="60">
          <cell r="B60" t="str">
            <v>Dosent</v>
          </cell>
        </row>
        <row r="61">
          <cell r="B61" t="str">
            <v>Bedriftslege</v>
          </cell>
        </row>
        <row r="62">
          <cell r="B62" t="str">
            <v>Avdelingsdirektør</v>
          </cell>
        </row>
        <row r="63">
          <cell r="B63" t="str">
            <v>Instituttleder</v>
          </cell>
        </row>
        <row r="64">
          <cell r="B64" t="str">
            <v>Forskningssjef</v>
          </cell>
        </row>
        <row r="65">
          <cell r="B65" t="str">
            <v>Dekan</v>
          </cell>
        </row>
        <row r="66">
          <cell r="B66" t="str">
            <v>Prorektor</v>
          </cell>
        </row>
        <row r="67">
          <cell r="B67" t="str">
            <v>Direktør</v>
          </cell>
        </row>
        <row r="68">
          <cell r="B68" t="str">
            <v>Næringsphd</v>
          </cell>
        </row>
        <row r="69">
          <cell r="B69" t="str">
            <v>Tekn./Adm. 7 ikke ferieuttak</v>
          </cell>
        </row>
        <row r="70">
          <cell r="B70" t="str">
            <v>Tekn./Adm. 6 ikke ferieuttak</v>
          </cell>
        </row>
        <row r="71">
          <cell r="B71" t="str">
            <v>Tekn./Adm. 5 ikke ferieuttak</v>
          </cell>
        </row>
        <row r="72">
          <cell r="B72" t="str">
            <v>Tekn./Adm. 4 ikke ferieuttak</v>
          </cell>
        </row>
        <row r="73">
          <cell r="B73" t="str">
            <v>Tekn./Adm. 3 ikke ferieuttak</v>
          </cell>
        </row>
        <row r="74">
          <cell r="B74" t="str">
            <v>Tekn./Adm. 2 ikke ferieuttak</v>
          </cell>
        </row>
        <row r="75">
          <cell r="B75" t="str">
            <v>Tekn./Adm. 1 ikke ferieuttak</v>
          </cell>
        </row>
        <row r="76">
          <cell r="B76" t="str">
            <v>Forsker 7 ikke ferieuttak</v>
          </cell>
        </row>
        <row r="77">
          <cell r="B77" t="str">
            <v>Forsker 6 ikke ferieuttak</v>
          </cell>
        </row>
        <row r="78">
          <cell r="B78" t="str">
            <v>Forsker 5 ikke ferieuttak</v>
          </cell>
        </row>
        <row r="79">
          <cell r="B79" t="str">
            <v>Forsker 4 ikke ferieuttak</v>
          </cell>
        </row>
        <row r="80">
          <cell r="B80" t="str">
            <v>Forsker 3 ikke ferieuttak</v>
          </cell>
        </row>
        <row r="81">
          <cell r="B81" t="str">
            <v>Forsker 2 ikke ferieuttak</v>
          </cell>
        </row>
        <row r="82">
          <cell r="B82" t="str">
            <v>Forsker 1 ikke ferieuttak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Terje Ruud" id="{54478348-DF9C-43A0-895E-FCF0D43A9A9B}" userId="S::terjru@ntnu.no::80210fc6-dbb7-49cc-ba3b-9524c1a7b209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N7" dT="2022-10-20T07:51:49.47" personId="{54478348-DF9C-43A0-895E-FCF0D43A9A9B}" id="{E7F06905-31DD-4A00-8C9B-C8E707448C7C}">
    <text>NB: hvis årsverk er valgt som enhet må input i 
kolonnen "Antall enheter" være 0% - 100%
(det er f.eks. feil å registrere 300% selv om det budsjetteres en person med 100% i 3 år)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9D012-EE14-4B50-AD4E-0819BBFDBCBB}">
  <dimension ref="A2:B23"/>
  <sheetViews>
    <sheetView workbookViewId="0">
      <selection activeCell="B21" sqref="B21"/>
    </sheetView>
  </sheetViews>
  <sheetFormatPr defaultRowHeight="15" x14ac:dyDescent="0.25"/>
  <cols>
    <col min="1" max="1" width="11.42578125" customWidth="1"/>
  </cols>
  <sheetData>
    <row r="2" spans="1:2" x14ac:dyDescent="0.25">
      <c r="A2" s="23">
        <v>45061</v>
      </c>
      <c r="B2" s="1" t="s">
        <v>430</v>
      </c>
    </row>
    <row r="3" spans="1:2" x14ac:dyDescent="0.25">
      <c r="B3" t="s">
        <v>358</v>
      </c>
    </row>
    <row r="4" spans="1:2" x14ac:dyDescent="0.25">
      <c r="B4" t="s">
        <v>407</v>
      </c>
    </row>
    <row r="5" spans="1:2" x14ac:dyDescent="0.25">
      <c r="A5" s="23"/>
      <c r="B5" t="s">
        <v>357</v>
      </c>
    </row>
    <row r="7" spans="1:2" x14ac:dyDescent="0.25">
      <c r="A7" s="23">
        <v>45092</v>
      </c>
      <c r="B7" s="1" t="s">
        <v>431</v>
      </c>
    </row>
    <row r="8" spans="1:2" x14ac:dyDescent="0.25">
      <c r="B8" t="s">
        <v>408</v>
      </c>
    </row>
    <row r="9" spans="1:2" x14ac:dyDescent="0.25">
      <c r="B9" t="s">
        <v>409</v>
      </c>
    </row>
    <row r="11" spans="1:2" x14ac:dyDescent="0.25">
      <c r="A11" s="23">
        <v>45096</v>
      </c>
      <c r="B11" s="1" t="s">
        <v>432</v>
      </c>
    </row>
    <row r="12" spans="1:2" x14ac:dyDescent="0.25">
      <c r="A12" s="23"/>
      <c r="B12" t="s">
        <v>410</v>
      </c>
    </row>
    <row r="13" spans="1:2" x14ac:dyDescent="0.25">
      <c r="B13" t="s">
        <v>417</v>
      </c>
    </row>
    <row r="15" spans="1:2" x14ac:dyDescent="0.25">
      <c r="A15" s="23">
        <v>45251</v>
      </c>
      <c r="B15" s="1" t="s">
        <v>433</v>
      </c>
    </row>
    <row r="16" spans="1:2" x14ac:dyDescent="0.25">
      <c r="A16" s="23"/>
      <c r="B16" t="s">
        <v>435</v>
      </c>
    </row>
    <row r="17" spans="1:2" x14ac:dyDescent="0.25">
      <c r="A17" s="23"/>
      <c r="B17" t="s">
        <v>418</v>
      </c>
    </row>
    <row r="18" spans="1:2" x14ac:dyDescent="0.25">
      <c r="B18" t="s">
        <v>419</v>
      </c>
    </row>
    <row r="19" spans="1:2" x14ac:dyDescent="0.25">
      <c r="A19" s="23"/>
      <c r="B19" t="s">
        <v>434</v>
      </c>
    </row>
    <row r="21" spans="1:2" x14ac:dyDescent="0.25">
      <c r="A21" s="23">
        <v>45461</v>
      </c>
      <c r="B21" s="1" t="s">
        <v>436</v>
      </c>
    </row>
    <row r="22" spans="1:2" x14ac:dyDescent="0.25">
      <c r="A22" s="23"/>
      <c r="B22" t="s">
        <v>437</v>
      </c>
    </row>
    <row r="23" spans="1:2" x14ac:dyDescent="0.25">
      <c r="B23" t="s">
        <v>438</v>
      </c>
    </row>
  </sheetData>
  <sheetProtection algorithmName="SHA-512" hashValue="YRGahHJJYHQ26WYpDWTgQNSU1QMlhfY7UckTqeqe4FknzIX2l8dUMthyoyddhlqV9zA8h/rp9GIbsQfvdNIzWw==" saltValue="FYV4McqJfLNfoFc9Q8qxwQ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09D90-CDA0-4732-816D-CEB46F43ADA3}">
  <sheetPr>
    <tabColor theme="3" tint="0.79998168889431442"/>
  </sheetPr>
  <dimension ref="A1:X38"/>
  <sheetViews>
    <sheetView tabSelected="1" workbookViewId="0">
      <selection activeCell="B3" sqref="B3"/>
    </sheetView>
  </sheetViews>
  <sheetFormatPr defaultColWidth="8.7109375" defaultRowHeight="15" x14ac:dyDescent="0.25"/>
  <cols>
    <col min="1" max="1" width="33.42578125" customWidth="1"/>
    <col min="2" max="2" width="21.28515625" customWidth="1"/>
    <col min="3" max="3" width="29.140625" customWidth="1"/>
    <col min="4" max="4" width="17.140625" customWidth="1"/>
    <col min="7" max="7" width="10.140625" bestFit="1" customWidth="1"/>
  </cols>
  <sheetData>
    <row r="1" spans="1:24" x14ac:dyDescent="0.25"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</row>
    <row r="2" spans="1:24" x14ac:dyDescent="0.25"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</row>
    <row r="3" spans="1:24" x14ac:dyDescent="0.25">
      <c r="A3" s="1" t="s">
        <v>299</v>
      </c>
      <c r="B3" s="41"/>
      <c r="C3" t="s">
        <v>350</v>
      </c>
      <c r="D3" s="41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</row>
    <row r="4" spans="1:24" x14ac:dyDescent="0.25">
      <c r="A4" s="1" t="s">
        <v>345</v>
      </c>
      <c r="B4" s="41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</row>
    <row r="5" spans="1:24" ht="30" x14ac:dyDescent="0.25">
      <c r="A5" s="93" t="s">
        <v>399</v>
      </c>
      <c r="B5" s="101"/>
      <c r="C5" t="s">
        <v>351</v>
      </c>
      <c r="D5" s="41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</row>
    <row r="6" spans="1:24" x14ac:dyDescent="0.25">
      <c r="A6" s="1" t="s">
        <v>400</v>
      </c>
      <c r="B6" s="101"/>
      <c r="C6" t="s">
        <v>352</v>
      </c>
      <c r="D6" s="41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</row>
    <row r="7" spans="1:24" x14ac:dyDescent="0.25">
      <c r="A7" s="1"/>
      <c r="B7" s="94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</row>
    <row r="8" spans="1:24" x14ac:dyDescent="0.25">
      <c r="A8" s="1" t="s">
        <v>346</v>
      </c>
      <c r="B8" s="41"/>
      <c r="C8" t="s">
        <v>353</v>
      </c>
      <c r="D8" s="41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</row>
    <row r="9" spans="1:24" x14ac:dyDescent="0.25">
      <c r="A9" s="1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</row>
    <row r="10" spans="1:24" x14ac:dyDescent="0.25">
      <c r="A10" s="1" t="s">
        <v>347</v>
      </c>
      <c r="B10" s="41"/>
      <c r="C10" t="s">
        <v>354</v>
      </c>
      <c r="D10" s="41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</row>
    <row r="11" spans="1:24" x14ac:dyDescent="0.25">
      <c r="C11" t="s">
        <v>355</v>
      </c>
      <c r="D11" s="41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</row>
    <row r="12" spans="1:24" x14ac:dyDescent="0.25">
      <c r="A12" s="1" t="s">
        <v>411</v>
      </c>
      <c r="B12" s="41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</row>
    <row r="13" spans="1:24" x14ac:dyDescent="0.25">
      <c r="A13" s="1" t="s">
        <v>412</v>
      </c>
      <c r="B13" s="41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</row>
    <row r="14" spans="1:24" x14ac:dyDescent="0.25"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</row>
    <row r="15" spans="1:24" x14ac:dyDescent="0.25"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</row>
    <row r="16" spans="1:24" ht="21.75" thickBot="1" x14ac:dyDescent="0.4">
      <c r="A16" s="4" t="s">
        <v>318</v>
      </c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</row>
    <row r="17" spans="1:24" x14ac:dyDescent="0.25">
      <c r="A17" s="53" t="s">
        <v>348</v>
      </c>
      <c r="B17" s="40"/>
      <c r="C17" s="95" t="str">
        <f t="shared" ref="C17:C21" si="0">IF(B17="","",VLOOKUP(B17,LstKsted_navn,2,FALSE))</f>
        <v/>
      </c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</row>
    <row r="18" spans="1:24" x14ac:dyDescent="0.25">
      <c r="A18" s="55" t="s">
        <v>349</v>
      </c>
      <c r="B18">
        <v>16901505</v>
      </c>
      <c r="C18" s="96" t="str">
        <f t="shared" si="0"/>
        <v>AUD-SUL-EVU kurs</v>
      </c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</row>
    <row r="19" spans="1:24" x14ac:dyDescent="0.25">
      <c r="A19" s="55" t="s">
        <v>302</v>
      </c>
      <c r="B19" s="41"/>
      <c r="C19" s="96" t="str">
        <f t="shared" si="0"/>
        <v/>
      </c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</row>
    <row r="20" spans="1:24" x14ac:dyDescent="0.25">
      <c r="A20" s="55" t="s">
        <v>303</v>
      </c>
      <c r="B20" s="41"/>
      <c r="C20" s="96" t="str">
        <f t="shared" si="0"/>
        <v/>
      </c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</row>
    <row r="21" spans="1:24" ht="15.75" thickBot="1" x14ac:dyDescent="0.3">
      <c r="A21" s="58" t="s">
        <v>304</v>
      </c>
      <c r="B21" s="42"/>
      <c r="C21" s="97" t="str">
        <f t="shared" si="0"/>
        <v/>
      </c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</row>
    <row r="22" spans="1:24" x14ac:dyDescent="0.25"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</row>
    <row r="23" spans="1:24" x14ac:dyDescent="0.25"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</row>
    <row r="24" spans="1:24" x14ac:dyDescent="0.25"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</row>
    <row r="25" spans="1:24" x14ac:dyDescent="0.25"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</row>
    <row r="26" spans="1:24" x14ac:dyDescent="0.25"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</row>
    <row r="27" spans="1:24" x14ac:dyDescent="0.25"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</row>
    <row r="28" spans="1:24" x14ac:dyDescent="0.25"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</row>
    <row r="29" spans="1:24" x14ac:dyDescent="0.25"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</row>
    <row r="30" spans="1:24" x14ac:dyDescent="0.25"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</row>
    <row r="31" spans="1:24" x14ac:dyDescent="0.25"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</row>
    <row r="32" spans="1:24" x14ac:dyDescent="0.25"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</row>
    <row r="33" spans="5:24" x14ac:dyDescent="0.25"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</row>
    <row r="34" spans="5:24" x14ac:dyDescent="0.25"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</row>
    <row r="35" spans="5:24" x14ac:dyDescent="0.25"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</row>
    <row r="36" spans="5:24" x14ac:dyDescent="0.25"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</row>
    <row r="37" spans="5:24" x14ac:dyDescent="0.25"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</row>
    <row r="38" spans="5:24" x14ac:dyDescent="0.25"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</row>
  </sheetData>
  <sheetProtection formatColumns="0" formatRows="0"/>
  <phoneticPr fontId="11" type="noConversion"/>
  <conditionalFormatting sqref="A13:B13">
    <cfRule type="expression" dxfId="6" priority="1">
      <formula>$B$12&lt;&gt;"Ja"</formula>
    </cfRule>
  </conditionalFormatting>
  <conditionalFormatting sqref="C5:D5 C10:D14">
    <cfRule type="expression" dxfId="5" priority="4">
      <formula>$B$8="Etterutdanning"</formula>
    </cfRule>
  </conditionalFormatting>
  <conditionalFormatting sqref="C6:D6">
    <cfRule type="expression" dxfId="4" priority="3">
      <formula>$B$8="Videreutdanning"</formula>
    </cfRule>
  </conditionalFormatting>
  <dataValidations count="11">
    <dataValidation type="date" operator="greaterThanOrEqual" allowBlank="1" showInputMessage="1" showErrorMessage="1" sqref="B5:B6" xr:uid="{802FBE70-2BCF-448A-82DB-9A1F472861D0}">
      <formula1>44927</formula1>
    </dataValidation>
    <dataValidation type="list" allowBlank="1" showInputMessage="1" showErrorMessage="1" sqref="B17 B19:B21" xr:uid="{D316D69B-53AF-49CB-B6BB-2DAB59C5FA42}">
      <formula1>LstKsteder</formula1>
    </dataValidation>
    <dataValidation type="list" allowBlank="1" showInputMessage="1" showErrorMessage="1" sqref="B8" xr:uid="{696792B2-C069-45E0-8192-386FC2FBAFDD}">
      <formula1>"Etterutdanning,Videreutdanning"</formula1>
    </dataValidation>
    <dataValidation type="whole" allowBlank="1" showInputMessage="1" showErrorMessage="1" sqref="B10" xr:uid="{03A77ED9-B470-412C-B24F-049A738B9D06}">
      <formula1>1</formula1>
      <formula2>500</formula2>
    </dataValidation>
    <dataValidation type="whole" operator="equal" allowBlank="1" showInputMessage="1" showErrorMessage="1" sqref="B18" xr:uid="{E2B590D8-F0C8-44E1-891C-2B1DF5A7FD90}">
      <formula1>16901505</formula1>
    </dataValidation>
    <dataValidation type="list" allowBlank="1" showInputMessage="1" showErrorMessage="1" sqref="D3" xr:uid="{B4C07947-DC01-4AE8-ADBE-16B604EC8F01}">
      <formula1>"Økonomisk aktivitet,Ikke-økonomisk aktivitet"</formula1>
    </dataValidation>
    <dataValidation type="whole" allowBlank="1" showInputMessage="1" showErrorMessage="1" sqref="D8" xr:uid="{4D082A2E-C70C-45FC-9FC0-D73CDF8F725C}">
      <formula1>0</formula1>
      <formula2>1000000</formula2>
    </dataValidation>
    <dataValidation type="list" allowBlank="1" showInputMessage="1" showErrorMessage="1" sqref="D10" xr:uid="{9B0774D7-4A33-48C9-A651-CDA0B5B2E2D8}">
      <formula1>"A,B,C,D,E,F"</formula1>
    </dataValidation>
    <dataValidation type="list" allowBlank="1" showInputMessage="1" showErrorMessage="1" sqref="D11" xr:uid="{B1825373-A0F2-4E2A-A0F2-4623C1D663BD}">
      <formula1>"a,b,c,d"</formula1>
    </dataValidation>
    <dataValidation type="list" allowBlank="1" showInputMessage="1" showErrorMessage="1" sqref="B12" xr:uid="{B2BD224D-A192-4DC4-8524-E08A4CC91AEC}">
      <formula1>"Ja,Nei"</formula1>
    </dataValidation>
    <dataValidation type="list" allowBlank="1" showInputMessage="1" showErrorMessage="1" sqref="B13" xr:uid="{A4459092-405E-4D02-B1F1-CB137D951D17}">
      <formula1>"Campus,Oslo"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05784-C6EC-4F5B-8F53-CE110878B907}">
  <sheetPr>
    <tabColor theme="4" tint="0.79998168889431442"/>
  </sheetPr>
  <dimension ref="A1:AH77"/>
  <sheetViews>
    <sheetView zoomScale="80" zoomScaleNormal="80" workbookViewId="0">
      <selection activeCell="A19" sqref="A19"/>
    </sheetView>
  </sheetViews>
  <sheetFormatPr defaultColWidth="8.7109375" defaultRowHeight="15" x14ac:dyDescent="0.25"/>
  <cols>
    <col min="1" max="1" width="26.85546875" customWidth="1"/>
    <col min="2" max="2" width="22.28515625" customWidth="1"/>
    <col min="3" max="3" width="14.5703125" hidden="1" customWidth="1"/>
    <col min="4" max="4" width="23.140625" customWidth="1"/>
    <col min="5" max="5" width="30" customWidth="1"/>
    <col min="6" max="6" width="20.7109375" customWidth="1"/>
    <col min="7" max="7" width="41.85546875" customWidth="1"/>
    <col min="8" max="8" width="42.7109375" style="29" customWidth="1"/>
    <col min="9" max="9" width="20.85546875" customWidth="1"/>
    <col min="10" max="10" width="20.5703125" customWidth="1"/>
    <col min="11" max="11" width="22.42578125" customWidth="1"/>
    <col min="12" max="12" width="13.5703125" customWidth="1"/>
    <col min="13" max="13" width="22.140625" customWidth="1"/>
    <col min="14" max="14" width="15.7109375" customWidth="1"/>
    <col min="15" max="15" width="12.42578125" style="29" customWidth="1"/>
    <col min="16" max="16" width="14.5703125" style="29" customWidth="1"/>
  </cols>
  <sheetData>
    <row r="1" spans="1:34" ht="15.75" thickBot="1" x14ac:dyDescent="0.3">
      <c r="P1" s="103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</row>
    <row r="2" spans="1:34" x14ac:dyDescent="0.25">
      <c r="A2" s="53" t="s">
        <v>299</v>
      </c>
      <c r="B2" s="54">
        <f>Prosjektopplysninger!B3</f>
        <v>0</v>
      </c>
      <c r="E2" s="102"/>
      <c r="F2" s="102"/>
      <c r="G2" s="102"/>
      <c r="H2" s="103"/>
      <c r="I2" s="102"/>
      <c r="J2" s="102"/>
      <c r="K2" s="102"/>
      <c r="L2" s="102"/>
      <c r="M2" s="102"/>
      <c r="N2" s="102"/>
      <c r="O2" s="103"/>
      <c r="P2" s="103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</row>
    <row r="3" spans="1:34" x14ac:dyDescent="0.25">
      <c r="A3" s="55" t="s">
        <v>289</v>
      </c>
      <c r="B3" s="56">
        <f>Prosjektopplysninger!B4</f>
        <v>0</v>
      </c>
      <c r="E3" s="102"/>
      <c r="F3" s="102"/>
      <c r="G3" s="102"/>
      <c r="H3" s="103"/>
      <c r="I3" s="102"/>
      <c r="J3" s="102"/>
      <c r="K3" s="102"/>
      <c r="L3" s="102"/>
      <c r="M3" s="102"/>
      <c r="N3" s="102"/>
      <c r="O3" s="103"/>
      <c r="P3" s="103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</row>
    <row r="4" spans="1:34" x14ac:dyDescent="0.25">
      <c r="A4" s="55" t="s">
        <v>401</v>
      </c>
      <c r="B4" s="57">
        <f>Prosjektopplysninger!B5</f>
        <v>0</v>
      </c>
      <c r="E4" s="102"/>
      <c r="F4" s="102"/>
      <c r="G4" s="102"/>
      <c r="H4" s="103"/>
      <c r="I4" s="102"/>
      <c r="J4" s="102"/>
      <c r="K4" s="102"/>
      <c r="L4" s="102"/>
      <c r="M4" s="102"/>
      <c r="N4" s="102"/>
      <c r="O4" s="103"/>
      <c r="P4" s="103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</row>
    <row r="5" spans="1:34" x14ac:dyDescent="0.25">
      <c r="A5" s="55" t="s">
        <v>402</v>
      </c>
      <c r="B5" s="57">
        <f>Prosjektopplysninger!B6</f>
        <v>0</v>
      </c>
      <c r="E5" s="102"/>
      <c r="F5" s="102"/>
      <c r="G5" s="102"/>
      <c r="H5" s="103"/>
      <c r="I5" s="102"/>
      <c r="J5" s="102"/>
      <c r="K5" s="102"/>
      <c r="L5" s="102"/>
      <c r="M5" s="102"/>
      <c r="N5" s="102"/>
      <c r="O5" s="103"/>
      <c r="P5" s="103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</row>
    <row r="6" spans="1:34" x14ac:dyDescent="0.25">
      <c r="A6" s="55" t="s">
        <v>300</v>
      </c>
      <c r="B6" s="56">
        <f>Prosjektopplysninger!B8</f>
        <v>0</v>
      </c>
      <c r="E6" s="102"/>
      <c r="F6" s="102"/>
      <c r="G6" s="102"/>
      <c r="H6" s="103"/>
      <c r="I6" s="102"/>
      <c r="J6" s="102"/>
      <c r="K6" s="102"/>
      <c r="L6" s="102"/>
      <c r="M6" s="102"/>
      <c r="N6" s="102"/>
      <c r="O6" s="103"/>
      <c r="P6" s="103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</row>
    <row r="7" spans="1:34" ht="15.75" thickBot="1" x14ac:dyDescent="0.3">
      <c r="A7" s="58" t="s">
        <v>301</v>
      </c>
      <c r="B7" s="59">
        <f>Prosjektopplysninger!B10</f>
        <v>0</v>
      </c>
      <c r="E7" s="102"/>
      <c r="F7" s="102"/>
      <c r="G7" s="102"/>
      <c r="H7" s="103"/>
      <c r="I7" s="102"/>
      <c r="J7" s="102"/>
      <c r="K7" s="102"/>
      <c r="L7" s="102"/>
      <c r="M7" s="102"/>
      <c r="N7" s="102"/>
      <c r="O7" s="103"/>
      <c r="P7" s="103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</row>
    <row r="8" spans="1:34" x14ac:dyDescent="0.25">
      <c r="E8" s="102"/>
      <c r="F8" s="102"/>
      <c r="G8" s="102"/>
      <c r="H8" s="103"/>
      <c r="I8" s="102"/>
      <c r="J8" s="102"/>
      <c r="K8" s="102"/>
      <c r="L8" s="102"/>
      <c r="M8" s="102"/>
      <c r="N8" s="102"/>
      <c r="O8" s="103"/>
      <c r="P8" s="103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</row>
    <row r="9" spans="1:34" x14ac:dyDescent="0.25">
      <c r="E9" s="102"/>
      <c r="F9" s="102"/>
      <c r="G9" s="102"/>
      <c r="H9" s="103"/>
      <c r="I9" s="102"/>
      <c r="J9" s="102"/>
      <c r="K9" s="102"/>
      <c r="L9" s="102"/>
      <c r="M9" s="102"/>
      <c r="N9" s="102"/>
      <c r="O9" s="103"/>
      <c r="P9" s="103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</row>
    <row r="10" spans="1:34" ht="18.75" x14ac:dyDescent="0.3">
      <c r="A10" s="30" t="s">
        <v>361</v>
      </c>
      <c r="E10" s="102"/>
      <c r="F10" s="102"/>
      <c r="G10" s="102"/>
      <c r="H10" s="103"/>
      <c r="I10" s="102"/>
      <c r="J10" s="102"/>
      <c r="K10" s="102"/>
      <c r="L10" s="102"/>
      <c r="M10" s="102"/>
      <c r="N10" s="102"/>
      <c r="O10" s="103"/>
      <c r="P10" s="103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</row>
    <row r="11" spans="1:34" x14ac:dyDescent="0.25">
      <c r="P11" s="103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</row>
    <row r="12" spans="1:34" s="1" customFormat="1" x14ac:dyDescent="0.25">
      <c r="A12" s="1" t="s">
        <v>2</v>
      </c>
      <c r="C12" s="1" t="s">
        <v>339</v>
      </c>
      <c r="D12" s="1" t="s">
        <v>360</v>
      </c>
      <c r="F12" s="1">
        <v>2023</v>
      </c>
      <c r="H12" s="60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</row>
    <row r="13" spans="1:34" x14ac:dyDescent="0.25">
      <c r="A13">
        <f>Prosjektopplysninger!B17</f>
        <v>0</v>
      </c>
      <c r="B13" t="e">
        <f>IF(A13="","",_xlfn.XLOOKUP(A13,'Oppslag-fane'!$F:$F,'Oppslag-fane'!$G:$G,,,))</f>
        <v>#N/A</v>
      </c>
      <c r="C13">
        <v>3241</v>
      </c>
      <c r="F13" s="61">
        <f>-('Finans.- og beslutningsrapport'!B16-'Finans.- og beslutningsrapport'!D16)</f>
        <v>0</v>
      </c>
      <c r="G13" s="62"/>
      <c r="H13" s="63"/>
      <c r="I13" s="62"/>
      <c r="J13" s="62"/>
      <c r="N13" s="29"/>
      <c r="O13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</row>
    <row r="14" spans="1:34" x14ac:dyDescent="0.25">
      <c r="A14">
        <v>14401002</v>
      </c>
      <c r="B14" t="str">
        <f>'Oppslag-fane'!G23</f>
        <v>OI-Universitetsavisa</v>
      </c>
      <c r="C14">
        <v>3241</v>
      </c>
      <c r="D14" t="s">
        <v>374</v>
      </c>
      <c r="F14" s="61">
        <f>-'Finans.- og beslutningsrapport'!D16</f>
        <v>0</v>
      </c>
      <c r="G14" s="62"/>
      <c r="H14" s="63"/>
      <c r="I14" s="62"/>
      <c r="J14" s="62"/>
      <c r="N14" s="29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</row>
    <row r="15" spans="1:34" x14ac:dyDescent="0.25">
      <c r="A15" s="1"/>
      <c r="B15" s="1"/>
      <c r="C15" s="1"/>
      <c r="D15" s="1"/>
      <c r="E15" s="1"/>
      <c r="F15" s="1"/>
      <c r="G15" s="1"/>
      <c r="H15" s="43"/>
      <c r="I15" s="1"/>
      <c r="J15" s="1"/>
      <c r="K15" s="1"/>
      <c r="L15" s="1"/>
      <c r="M15" s="1"/>
      <c r="N15" s="1"/>
      <c r="O15" s="43"/>
      <c r="P15" s="103"/>
      <c r="Q15" s="103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</row>
    <row r="16" spans="1:34" ht="18.75" x14ac:dyDescent="0.3">
      <c r="A16" s="30" t="s">
        <v>372</v>
      </c>
      <c r="B16" s="64"/>
      <c r="C16" s="64"/>
      <c r="D16" s="64"/>
      <c r="E16" s="64"/>
      <c r="F16" s="64"/>
      <c r="G16" s="64"/>
      <c r="H16" s="44"/>
      <c r="I16" s="64"/>
      <c r="J16" s="64"/>
      <c r="K16" s="64"/>
      <c r="L16" s="64"/>
      <c r="M16" s="64"/>
      <c r="N16" s="64"/>
      <c r="O16" s="44"/>
      <c r="P16" s="103"/>
      <c r="Q16" s="103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</row>
    <row r="17" spans="1:34" x14ac:dyDescent="0.25">
      <c r="P17" s="103"/>
      <c r="Q17" s="103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</row>
    <row r="18" spans="1:34" x14ac:dyDescent="0.25">
      <c r="A18" s="1" t="s">
        <v>2</v>
      </c>
      <c r="B18" s="1"/>
      <c r="C18" s="1" t="s">
        <v>2</v>
      </c>
      <c r="D18" s="1" t="s">
        <v>339</v>
      </c>
      <c r="E18" s="1" t="s">
        <v>359</v>
      </c>
      <c r="F18" s="1" t="s">
        <v>365</v>
      </c>
      <c r="G18" s="1" t="s">
        <v>360</v>
      </c>
      <c r="H18" s="43" t="s">
        <v>387</v>
      </c>
      <c r="I18" s="1" t="s">
        <v>366</v>
      </c>
      <c r="J18" s="1" t="s">
        <v>367</v>
      </c>
      <c r="K18" s="1" t="s">
        <v>4</v>
      </c>
      <c r="L18" s="1" t="str">
        <f>IF(K19="Årsverk (I % av årsverk)","%-andel Årsverk","Ant. Timer")</f>
        <v>Ant. Timer</v>
      </c>
      <c r="M18" s="43" t="s">
        <v>325</v>
      </c>
      <c r="N18" s="43" t="s">
        <v>333</v>
      </c>
      <c r="O18" s="43" t="s">
        <v>334</v>
      </c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</row>
    <row r="19" spans="1:34" x14ac:dyDescent="0.25">
      <c r="A19" s="41"/>
      <c r="B19" t="str">
        <f>IF(A19="","",_xlfn.XLOOKUP(A19,'Oppslag-fane'!$F:$F,'Oppslag-fane'!$G:$G,,,))</f>
        <v/>
      </c>
      <c r="C19" t="str">
        <f>IF(A19="","",_xlfn.XLOOKUP(A19,'Oppslag-fane'!$F$7:$F$462,'Oppslag-fane'!$G$7:$G$462))</f>
        <v/>
      </c>
      <c r="D19" s="41"/>
      <c r="E19" s="41"/>
      <c r="F19" s="41"/>
      <c r="G19" s="41"/>
      <c r="H19" s="49"/>
      <c r="I19" s="52"/>
      <c r="J19" s="52"/>
      <c r="K19" s="41"/>
      <c r="L19" s="45"/>
      <c r="M19" s="29">
        <f>SUM(N19:O19)</f>
        <v>0</v>
      </c>
      <c r="N19" s="29" t="str">
        <f>IFERROR('Hjelpeberegn_pers og husleie'!F5,"")</f>
        <v/>
      </c>
      <c r="O19" s="29">
        <f>IFERROR('Hjelpeberegn_pers og husleie'!G5,"")</f>
        <v>0</v>
      </c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</row>
    <row r="20" spans="1:34" x14ac:dyDescent="0.25">
      <c r="A20" s="41"/>
      <c r="B20" t="str">
        <f>IF(A20="","",_xlfn.XLOOKUP(A20,'Oppslag-fane'!$F:$F,'Oppslag-fane'!$G:$G,,,))</f>
        <v/>
      </c>
      <c r="C20" t="str">
        <f>IF(A20="","",_xlfn.XLOOKUP(A20,'Oppslag-fane'!$F$7:$F$462,'Oppslag-fane'!$G$7:$G$462))</f>
        <v/>
      </c>
      <c r="D20" s="41"/>
      <c r="E20" s="41"/>
      <c r="F20" s="41"/>
      <c r="G20" s="41"/>
      <c r="H20" s="49"/>
      <c r="I20" s="52"/>
      <c r="J20" s="52"/>
      <c r="K20" s="41"/>
      <c r="L20" s="45"/>
      <c r="M20" s="29">
        <f t="shared" ref="M20:M33" si="0">SUM(N20:O20)</f>
        <v>0</v>
      </c>
      <c r="N20" s="29" t="str">
        <f>IFERROR('Hjelpeberegn_pers og husleie'!F6,"")</f>
        <v/>
      </c>
      <c r="O20" s="29">
        <f>IFERROR('Hjelpeberegn_pers og husleie'!G6,"")</f>
        <v>0</v>
      </c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</row>
    <row r="21" spans="1:34" x14ac:dyDescent="0.25">
      <c r="A21" s="41"/>
      <c r="B21" t="str">
        <f>IF(A21="","",_xlfn.XLOOKUP(A21,'Oppslag-fane'!$F:$F,'Oppslag-fane'!$G:$G,,,))</f>
        <v/>
      </c>
      <c r="C21" t="str">
        <f>IF(A21="","",_xlfn.XLOOKUP(A21,'Oppslag-fane'!$F$7:$F$462,'Oppslag-fane'!$G$7:$G$462))</f>
        <v/>
      </c>
      <c r="D21" s="41"/>
      <c r="E21" s="41"/>
      <c r="F21" s="41"/>
      <c r="G21" s="41"/>
      <c r="H21" s="49"/>
      <c r="I21" s="52"/>
      <c r="J21" s="52"/>
      <c r="K21" s="41"/>
      <c r="L21" s="45"/>
      <c r="M21" s="29">
        <f t="shared" si="0"/>
        <v>0</v>
      </c>
      <c r="N21" s="29" t="str">
        <f>IFERROR('Hjelpeberegn_pers og husleie'!F7,"")</f>
        <v/>
      </c>
      <c r="O21" s="29">
        <f>IFERROR('Hjelpeberegn_pers og husleie'!G7,"")</f>
        <v>0</v>
      </c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  <c r="AH21" s="102"/>
    </row>
    <row r="22" spans="1:34" x14ac:dyDescent="0.25">
      <c r="A22" s="41"/>
      <c r="B22" t="str">
        <f>IF(A22="","",_xlfn.XLOOKUP(A22,'Oppslag-fane'!$F:$F,'Oppslag-fane'!$G:$G,,,))</f>
        <v/>
      </c>
      <c r="C22" t="str">
        <f>IF(A22="","",_xlfn.XLOOKUP(A22,'Oppslag-fane'!$F$7:$F$462,'Oppslag-fane'!$G$7:$G$462))</f>
        <v/>
      </c>
      <c r="D22" s="41"/>
      <c r="E22" s="41"/>
      <c r="F22" s="41"/>
      <c r="G22" s="41"/>
      <c r="H22" s="49"/>
      <c r="I22" s="52"/>
      <c r="J22" s="52"/>
      <c r="K22" s="41"/>
      <c r="L22" s="45"/>
      <c r="M22" s="29">
        <f t="shared" si="0"/>
        <v>0</v>
      </c>
      <c r="N22" s="29" t="str">
        <f>IFERROR('Hjelpeberegn_pers og husleie'!F8,"")</f>
        <v/>
      </c>
      <c r="O22" s="29">
        <f>IFERROR('Hjelpeberegn_pers og husleie'!G8,"")</f>
        <v>0</v>
      </c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</row>
    <row r="23" spans="1:34" x14ac:dyDescent="0.25">
      <c r="A23" s="41"/>
      <c r="B23" t="str">
        <f>IF(A23="","",_xlfn.XLOOKUP(A23,'Oppslag-fane'!$F:$F,'Oppslag-fane'!$G:$G,,,))</f>
        <v/>
      </c>
      <c r="C23" t="str">
        <f>IF(A23="","",_xlfn.XLOOKUP(A23,'Oppslag-fane'!$F$7:$F$462,'Oppslag-fane'!$G$7:$G$462))</f>
        <v/>
      </c>
      <c r="D23" s="41"/>
      <c r="E23" s="41"/>
      <c r="F23" s="41"/>
      <c r="G23" s="41"/>
      <c r="H23" s="49"/>
      <c r="I23" s="52"/>
      <c r="J23" s="52"/>
      <c r="K23" s="41"/>
      <c r="L23" s="45"/>
      <c r="M23" s="29">
        <f t="shared" si="0"/>
        <v>0</v>
      </c>
      <c r="N23" s="29" t="str">
        <f>IFERROR('Hjelpeberegn_pers og husleie'!F9,"")</f>
        <v/>
      </c>
      <c r="O23" s="29">
        <f>IFERROR('Hjelpeberegn_pers og husleie'!G9,"")</f>
        <v>0</v>
      </c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</row>
    <row r="24" spans="1:34" x14ac:dyDescent="0.25">
      <c r="A24" s="41"/>
      <c r="B24" t="str">
        <f>IF(A24="","",_xlfn.XLOOKUP(A24,'Oppslag-fane'!$F:$F,'Oppslag-fane'!$G:$G,,,))</f>
        <v/>
      </c>
      <c r="C24" t="str">
        <f>IF(A24="","",_xlfn.XLOOKUP(A24,'Oppslag-fane'!$F$7:$F$462,'Oppslag-fane'!$G$7:$G$462))</f>
        <v/>
      </c>
      <c r="D24" s="41"/>
      <c r="E24" s="41"/>
      <c r="F24" s="41"/>
      <c r="G24" s="41"/>
      <c r="H24" s="49"/>
      <c r="I24" s="52"/>
      <c r="J24" s="52"/>
      <c r="K24" s="41"/>
      <c r="L24" s="45"/>
      <c r="M24" s="29">
        <f t="shared" si="0"/>
        <v>0</v>
      </c>
      <c r="N24" s="29" t="str">
        <f>IFERROR('Hjelpeberegn_pers og husleie'!F10,"")</f>
        <v/>
      </c>
      <c r="O24" s="29">
        <f>IFERROR('Hjelpeberegn_pers og husleie'!G10,"")</f>
        <v>0</v>
      </c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</row>
    <row r="25" spans="1:34" x14ac:dyDescent="0.25">
      <c r="A25" s="41"/>
      <c r="B25" t="str">
        <f>IF(A25="","",_xlfn.XLOOKUP(A25,'Oppslag-fane'!$F:$F,'Oppslag-fane'!$G:$G,,,))</f>
        <v/>
      </c>
      <c r="C25" t="str">
        <f>IF(A25="","",_xlfn.XLOOKUP(A25,'Oppslag-fane'!$F$7:$F$462,'Oppslag-fane'!$G$7:$G$462))</f>
        <v/>
      </c>
      <c r="D25" s="41"/>
      <c r="E25" s="41"/>
      <c r="F25" s="41"/>
      <c r="G25" s="41"/>
      <c r="H25" s="49"/>
      <c r="I25" s="52"/>
      <c r="J25" s="52"/>
      <c r="K25" s="41"/>
      <c r="L25" s="45"/>
      <c r="M25" s="29">
        <f t="shared" si="0"/>
        <v>0</v>
      </c>
      <c r="N25" s="29" t="str">
        <f>IFERROR('Hjelpeberegn_pers og husleie'!F11,"")</f>
        <v/>
      </c>
      <c r="O25" s="29">
        <f>IFERROR('Hjelpeberegn_pers og husleie'!G11,"")</f>
        <v>0</v>
      </c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</row>
    <row r="26" spans="1:34" x14ac:dyDescent="0.25">
      <c r="A26" s="41"/>
      <c r="B26" t="str">
        <f>IF(A26="","",_xlfn.XLOOKUP(A26,'Oppslag-fane'!$F:$F,'Oppslag-fane'!$G:$G,,,))</f>
        <v/>
      </c>
      <c r="C26" t="str">
        <f>IF(A26="","",_xlfn.XLOOKUP(A26,'Oppslag-fane'!$F$7:$F$462,'Oppslag-fane'!$G$7:$G$462))</f>
        <v/>
      </c>
      <c r="D26" s="41"/>
      <c r="E26" s="41"/>
      <c r="F26" s="41"/>
      <c r="G26" s="41"/>
      <c r="H26" s="49"/>
      <c r="I26" s="52"/>
      <c r="J26" s="52"/>
      <c r="K26" s="41"/>
      <c r="L26" s="45"/>
      <c r="M26" s="29">
        <f t="shared" si="0"/>
        <v>0</v>
      </c>
      <c r="N26" s="29" t="str">
        <f>IFERROR('Hjelpeberegn_pers og husleie'!F12,"")</f>
        <v/>
      </c>
      <c r="O26" s="29">
        <f>IFERROR('Hjelpeberegn_pers og husleie'!G12,"")</f>
        <v>0</v>
      </c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</row>
    <row r="27" spans="1:34" x14ac:dyDescent="0.25">
      <c r="A27" s="41"/>
      <c r="B27" t="str">
        <f>IF(A27="","",_xlfn.XLOOKUP(A27,'Oppslag-fane'!$F:$F,'Oppslag-fane'!$G:$G,,,))</f>
        <v/>
      </c>
      <c r="C27" t="str">
        <f>IF(A27="","",_xlfn.XLOOKUP(A27,'Oppslag-fane'!$F$7:$F$462,'Oppslag-fane'!$G$7:$G$462))</f>
        <v/>
      </c>
      <c r="D27" s="41"/>
      <c r="E27" s="41"/>
      <c r="F27" s="41"/>
      <c r="G27" s="41"/>
      <c r="H27" s="49"/>
      <c r="I27" s="52"/>
      <c r="J27" s="52"/>
      <c r="K27" s="41"/>
      <c r="L27" s="45"/>
      <c r="M27" s="29">
        <f t="shared" si="0"/>
        <v>0</v>
      </c>
      <c r="N27" s="29" t="str">
        <f>IFERROR('Hjelpeberegn_pers og husleie'!F13,"")</f>
        <v/>
      </c>
      <c r="O27" s="29">
        <f>IFERROR('Hjelpeberegn_pers og husleie'!G13,"")</f>
        <v>0</v>
      </c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</row>
    <row r="28" spans="1:34" x14ac:dyDescent="0.25">
      <c r="A28" s="41"/>
      <c r="B28" t="str">
        <f>IF(A28="","",_xlfn.XLOOKUP(A28,'Oppslag-fane'!$F:$F,'Oppslag-fane'!$G:$G,,,))</f>
        <v/>
      </c>
      <c r="C28" t="str">
        <f>IF(A28="","",_xlfn.XLOOKUP(A28,'Oppslag-fane'!$F$7:$F$462,'Oppslag-fane'!$G$7:$G$462))</f>
        <v/>
      </c>
      <c r="D28" s="41"/>
      <c r="E28" s="41"/>
      <c r="F28" s="41"/>
      <c r="G28" s="41"/>
      <c r="H28" s="49"/>
      <c r="I28" s="52"/>
      <c r="J28" s="52"/>
      <c r="K28" s="41"/>
      <c r="L28" s="45"/>
      <c r="M28" s="29">
        <f t="shared" si="0"/>
        <v>0</v>
      </c>
      <c r="N28" s="29" t="str">
        <f>IFERROR('Hjelpeberegn_pers og husleie'!F14,"")</f>
        <v/>
      </c>
      <c r="O28" s="29">
        <f>IFERROR('Hjelpeberegn_pers og husleie'!G14,"")</f>
        <v>0</v>
      </c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</row>
    <row r="29" spans="1:34" x14ac:dyDescent="0.25">
      <c r="A29" s="41"/>
      <c r="B29" t="str">
        <f>IF(A29="","",_xlfn.XLOOKUP(A29,'Oppslag-fane'!$F:$F,'Oppslag-fane'!$G:$G,,,))</f>
        <v/>
      </c>
      <c r="C29" t="str">
        <f>IF(A29="","",_xlfn.XLOOKUP(A29,'Oppslag-fane'!$F$7:$F$462,'Oppslag-fane'!$G$7:$G$462))</f>
        <v/>
      </c>
      <c r="D29" s="41"/>
      <c r="E29" s="41"/>
      <c r="F29" s="41"/>
      <c r="G29" s="41"/>
      <c r="H29" s="49"/>
      <c r="I29" s="52"/>
      <c r="J29" s="52"/>
      <c r="K29" s="41"/>
      <c r="L29" s="45"/>
      <c r="M29" s="29">
        <f t="shared" si="0"/>
        <v>0</v>
      </c>
      <c r="N29" s="29" t="str">
        <f>IFERROR('Hjelpeberegn_pers og husleie'!F15,"")</f>
        <v/>
      </c>
      <c r="O29" s="29">
        <f>IFERROR('Hjelpeberegn_pers og husleie'!G15,"")</f>
        <v>0</v>
      </c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</row>
    <row r="30" spans="1:34" x14ac:dyDescent="0.25">
      <c r="A30" s="41"/>
      <c r="B30" t="str">
        <f>IF(A30="","",_xlfn.XLOOKUP(A30,'Oppslag-fane'!$F:$F,'Oppslag-fane'!$G:$G,,,))</f>
        <v/>
      </c>
      <c r="C30" t="str">
        <f>IF(A30="","",_xlfn.XLOOKUP(A30,'Oppslag-fane'!$F$7:$F$462,'Oppslag-fane'!$G$7:$G$462))</f>
        <v/>
      </c>
      <c r="D30" s="41"/>
      <c r="E30" s="41"/>
      <c r="F30" s="41"/>
      <c r="G30" s="41"/>
      <c r="H30" s="49"/>
      <c r="I30" s="52"/>
      <c r="J30" s="52"/>
      <c r="K30" s="41"/>
      <c r="L30" s="45"/>
      <c r="M30" s="29">
        <f t="shared" si="0"/>
        <v>0</v>
      </c>
      <c r="N30" s="29" t="str">
        <f>IFERROR('Hjelpeberegn_pers og husleie'!F16,"")</f>
        <v/>
      </c>
      <c r="O30" s="29">
        <f>IFERROR('Hjelpeberegn_pers og husleie'!G16,"")</f>
        <v>0</v>
      </c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</row>
    <row r="31" spans="1:34" x14ac:dyDescent="0.25">
      <c r="A31" s="41"/>
      <c r="B31" t="str">
        <f>IF(A31="","",_xlfn.XLOOKUP(A31,'Oppslag-fane'!$F:$F,'Oppslag-fane'!$G:$G,,,))</f>
        <v/>
      </c>
      <c r="C31" t="str">
        <f>IF(A31="","",_xlfn.XLOOKUP(A31,'Oppslag-fane'!$F$7:$F$462,'Oppslag-fane'!$G$7:$G$462))</f>
        <v/>
      </c>
      <c r="D31" s="41"/>
      <c r="E31" s="41"/>
      <c r="F31" s="41"/>
      <c r="G31" s="41"/>
      <c r="H31" s="49"/>
      <c r="I31" s="52"/>
      <c r="J31" s="52"/>
      <c r="K31" s="41"/>
      <c r="L31" s="45"/>
      <c r="M31" s="29">
        <f t="shared" si="0"/>
        <v>0</v>
      </c>
      <c r="N31" s="29" t="str">
        <f>IFERROR('Hjelpeberegn_pers og husleie'!F17,"")</f>
        <v/>
      </c>
      <c r="O31" s="29">
        <f>IFERROR('Hjelpeberegn_pers og husleie'!G17,"")</f>
        <v>0</v>
      </c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</row>
    <row r="32" spans="1:34" x14ac:dyDescent="0.25">
      <c r="A32" s="41"/>
      <c r="B32" t="str">
        <f>IF(A32="","",_xlfn.XLOOKUP(A32,'Oppslag-fane'!$F:$F,'Oppslag-fane'!$G:$G,,,))</f>
        <v/>
      </c>
      <c r="C32" t="str">
        <f>IF(A32="","",_xlfn.XLOOKUP(A32,'Oppslag-fane'!$F$7:$F$462,'Oppslag-fane'!$G$7:$G$462))</f>
        <v/>
      </c>
      <c r="D32" s="41"/>
      <c r="E32" s="41"/>
      <c r="F32" s="41"/>
      <c r="G32" s="41"/>
      <c r="H32" s="49"/>
      <c r="I32" s="52"/>
      <c r="J32" s="52"/>
      <c r="K32" s="41"/>
      <c r="L32" s="45"/>
      <c r="M32" s="29">
        <f t="shared" si="0"/>
        <v>0</v>
      </c>
      <c r="N32" s="29" t="str">
        <f>IFERROR('Hjelpeberegn_pers og husleie'!F18,"")</f>
        <v/>
      </c>
      <c r="O32" s="29">
        <f>IFERROR('Hjelpeberegn_pers og husleie'!G18,"")</f>
        <v>0</v>
      </c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</row>
    <row r="33" spans="1:34" x14ac:dyDescent="0.25">
      <c r="A33" s="41"/>
      <c r="B33" t="str">
        <f>IF(A33="","",_xlfn.XLOOKUP(A33,'Oppslag-fane'!$F:$F,'Oppslag-fane'!$G:$G,,,))</f>
        <v/>
      </c>
      <c r="C33" t="str">
        <f>IF(A33="","",_xlfn.XLOOKUP(A33,'Oppslag-fane'!$F$7:$F$462,'Oppslag-fane'!$G$7:$G$462))</f>
        <v/>
      </c>
      <c r="D33" s="41"/>
      <c r="E33" s="41"/>
      <c r="F33" s="41"/>
      <c r="G33" s="41"/>
      <c r="H33" s="49"/>
      <c r="I33" s="52"/>
      <c r="J33" s="52"/>
      <c r="K33" s="41"/>
      <c r="L33" s="45"/>
      <c r="M33" s="29">
        <f t="shared" si="0"/>
        <v>0</v>
      </c>
      <c r="N33" s="29" t="str">
        <f>IFERROR('Hjelpeberegn_pers og husleie'!F19,"")</f>
        <v/>
      </c>
      <c r="O33" s="29">
        <f>IFERROR('Hjelpeberegn_pers og husleie'!G19,"")</f>
        <v>0</v>
      </c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</row>
    <row r="34" spans="1:34" x14ac:dyDescent="0.25">
      <c r="M34" s="20">
        <f>SUM(M19:M33)</f>
        <v>0</v>
      </c>
      <c r="N34" s="20">
        <f t="shared" ref="N34:O34" si="1">SUM(N19:N33)</f>
        <v>0</v>
      </c>
      <c r="O34" s="20">
        <f t="shared" si="1"/>
        <v>0</v>
      </c>
      <c r="P34" s="103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</row>
    <row r="35" spans="1:34" ht="18.75" x14ac:dyDescent="0.3">
      <c r="A35" s="30" t="s">
        <v>370</v>
      </c>
      <c r="B35" s="64"/>
      <c r="C35" s="64"/>
      <c r="D35" s="64"/>
      <c r="E35" s="64"/>
      <c r="F35" s="64"/>
      <c r="G35" s="64"/>
      <c r="H35" s="44"/>
      <c r="I35" s="64"/>
      <c r="J35" s="64"/>
      <c r="K35" s="64"/>
      <c r="L35" s="64"/>
      <c r="M35" s="64"/>
      <c r="N35" s="64"/>
      <c r="O35" s="44"/>
      <c r="P35" s="103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</row>
    <row r="36" spans="1:34" x14ac:dyDescent="0.25">
      <c r="O36"/>
      <c r="P36" s="103"/>
      <c r="Q36" s="103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</row>
    <row r="37" spans="1:34" ht="45" x14ac:dyDescent="0.25">
      <c r="A37" s="1" t="s">
        <v>2</v>
      </c>
      <c r="B37" s="1"/>
      <c r="C37" s="1" t="s">
        <v>2</v>
      </c>
      <c r="D37" s="1" t="s">
        <v>339</v>
      </c>
      <c r="E37" s="1" t="s">
        <v>359</v>
      </c>
      <c r="F37" s="1" t="s">
        <v>392</v>
      </c>
      <c r="G37" s="1" t="s">
        <v>360</v>
      </c>
      <c r="H37" s="51" t="s">
        <v>390</v>
      </c>
      <c r="I37" s="1"/>
      <c r="J37" s="1"/>
      <c r="K37" s="1"/>
      <c r="L37" s="1"/>
      <c r="M37" s="51" t="s">
        <v>325</v>
      </c>
      <c r="N37" s="51" t="s">
        <v>391</v>
      </c>
      <c r="O37" s="43" t="s">
        <v>334</v>
      </c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</row>
    <row r="38" spans="1:34" x14ac:dyDescent="0.25">
      <c r="A38" s="41"/>
      <c r="B38" t="str">
        <f>IF(A38="","",_xlfn.XLOOKUP(A38,'Oppslag-fane'!$F:$F,'Oppslag-fane'!$G:$G,,,))</f>
        <v/>
      </c>
      <c r="C38" t="str">
        <f>IF(A38="","",_xlfn.XLOOKUP(A38,'Oppslag-fane'!$F$7:$F$462,'Oppslag-fane'!$G$7:$G$462))</f>
        <v/>
      </c>
      <c r="D38" t="s">
        <v>371</v>
      </c>
      <c r="E38" s="41" t="s">
        <v>429</v>
      </c>
      <c r="F38" s="71"/>
      <c r="G38" s="41"/>
      <c r="H38" s="49"/>
      <c r="I38" s="66"/>
      <c r="J38" s="65" t="str">
        <f>IF(I38="","",#REF!-I38)</f>
        <v/>
      </c>
      <c r="K38" s="67"/>
      <c r="L38" s="68"/>
      <c r="M38" s="29">
        <f>N38+O38</f>
        <v>0</v>
      </c>
      <c r="N38" s="29">
        <f>H38*(1.141)</f>
        <v>0</v>
      </c>
      <c r="O38" s="29">
        <f>_xlfn.XLOOKUP(F38,'Lønnstrinn -&gt; Lønnsbånd'!$B$6:$B$88,'Lønnstrinn -&gt; Lønnsbånd'!$G$6:$G$88,0,1,)*N38</f>
        <v>0</v>
      </c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</row>
    <row r="39" spans="1:34" x14ac:dyDescent="0.25">
      <c r="A39" s="41"/>
      <c r="B39" t="str">
        <f>IF(A39="","",_xlfn.XLOOKUP(A39,'Oppslag-fane'!$F:$F,'Oppslag-fane'!$G:$G,,,))</f>
        <v/>
      </c>
      <c r="C39" t="str">
        <f>IF(A39="","",_xlfn.XLOOKUP(A39,'Oppslag-fane'!$F$7:$F$462,'Oppslag-fane'!$G$7:$G$462))</f>
        <v/>
      </c>
      <c r="D39" t="s">
        <v>371</v>
      </c>
      <c r="E39" s="41"/>
      <c r="F39" s="71"/>
      <c r="G39" s="41"/>
      <c r="H39" s="49"/>
      <c r="I39" s="66"/>
      <c r="J39" s="65" t="str">
        <f>IF(I39="","",#REF!-I39)</f>
        <v/>
      </c>
      <c r="K39" s="67"/>
      <c r="L39" s="68"/>
      <c r="M39" s="29">
        <f t="shared" ref="M39:M41" si="2">N39+O39</f>
        <v>0</v>
      </c>
      <c r="N39" s="29">
        <f t="shared" ref="N39:N41" si="3">H39*(1.141)</f>
        <v>0</v>
      </c>
      <c r="O39" s="29">
        <f>_xlfn.XLOOKUP(F39,'Lønnstrinn -&gt; Lønnsbånd'!$B$6:$B$88,'Lønnstrinn -&gt; Lønnsbånd'!$G$6:$G$88,0,1,)*N39</f>
        <v>0</v>
      </c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</row>
    <row r="40" spans="1:34" x14ac:dyDescent="0.25">
      <c r="A40" s="41"/>
      <c r="B40" t="str">
        <f>IF(A40="","",_xlfn.XLOOKUP(A40,'Oppslag-fane'!$F:$F,'Oppslag-fane'!$G:$G,,,))</f>
        <v/>
      </c>
      <c r="C40" t="str">
        <f>IF(A40="","",_xlfn.XLOOKUP(A40,'Oppslag-fane'!$F$7:$F$462,'Oppslag-fane'!$G$7:$G$462))</f>
        <v/>
      </c>
      <c r="D40" t="s">
        <v>371</v>
      </c>
      <c r="E40" s="41"/>
      <c r="F40" s="71"/>
      <c r="G40" s="41"/>
      <c r="H40" s="49"/>
      <c r="I40" s="66"/>
      <c r="J40" s="65" t="str">
        <f>IF(I40="","",#REF!-I40)</f>
        <v/>
      </c>
      <c r="K40" s="67"/>
      <c r="L40" s="68"/>
      <c r="M40" s="29">
        <f t="shared" si="2"/>
        <v>0</v>
      </c>
      <c r="N40" s="29">
        <f t="shared" si="3"/>
        <v>0</v>
      </c>
      <c r="O40" s="29">
        <f>_xlfn.XLOOKUP(F40,'Lønnstrinn -&gt; Lønnsbånd'!$B$6:$B$88,'Lønnstrinn -&gt; Lønnsbånd'!$G$6:$G$88,0,1,)*N40</f>
        <v>0</v>
      </c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</row>
    <row r="41" spans="1:34" x14ac:dyDescent="0.25">
      <c r="A41" s="41"/>
      <c r="B41" t="str">
        <f>IF(A41="","",_xlfn.XLOOKUP(A41,'Oppslag-fane'!$F:$F,'Oppslag-fane'!$G:$G,,,))</f>
        <v/>
      </c>
      <c r="C41" t="str">
        <f>IF(A41="","",_xlfn.XLOOKUP(A41,'Oppslag-fane'!$F$7:$F$462,'Oppslag-fane'!$G$7:$G$462))</f>
        <v/>
      </c>
      <c r="D41" t="s">
        <v>371</v>
      </c>
      <c r="E41" s="41"/>
      <c r="F41" s="71"/>
      <c r="G41" s="41"/>
      <c r="H41" s="49"/>
      <c r="I41" s="66"/>
      <c r="J41" s="65" t="str">
        <f>IF(I41="","",#REF!-I41)</f>
        <v/>
      </c>
      <c r="K41" s="67"/>
      <c r="L41" s="68"/>
      <c r="M41" s="29">
        <f t="shared" si="2"/>
        <v>0</v>
      </c>
      <c r="N41" s="29">
        <f t="shared" si="3"/>
        <v>0</v>
      </c>
      <c r="O41" s="29">
        <f>_xlfn.XLOOKUP(F41,'Lønnstrinn -&gt; Lønnsbånd'!$B$6:$B$88,'Lønnstrinn -&gt; Lønnsbånd'!$G$6:$G$88,0,1,)*N41</f>
        <v>0</v>
      </c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</row>
    <row r="42" spans="1:34" x14ac:dyDescent="0.25">
      <c r="A42" s="41"/>
      <c r="B42" t="str">
        <f>IF(A42="","",_xlfn.XLOOKUP(A42,'Oppslag-fane'!$F:$F,'Oppslag-fane'!$G:$G,,,))</f>
        <v/>
      </c>
      <c r="C42" t="str">
        <f>IF(A42="","",_xlfn.XLOOKUP(A42,'Oppslag-fane'!$F$7:$F$462,'Oppslag-fane'!$G$7:$G$462))</f>
        <v/>
      </c>
      <c r="D42" t="s">
        <v>371</v>
      </c>
      <c r="E42" s="41"/>
      <c r="F42" s="71"/>
      <c r="G42" s="41"/>
      <c r="H42" s="49"/>
      <c r="I42" s="66"/>
      <c r="J42" s="65" t="str">
        <f>IF(I42="","",#REF!-I42)</f>
        <v/>
      </c>
      <c r="K42" s="67"/>
      <c r="L42" s="68"/>
      <c r="M42" s="29">
        <f t="shared" ref="M42:M47" si="4">N42+O42</f>
        <v>0</v>
      </c>
      <c r="N42" s="29">
        <f t="shared" ref="N42:N47" si="5">H42*(1.141)</f>
        <v>0</v>
      </c>
      <c r="O42" s="29">
        <f>_xlfn.XLOOKUP(F42,'Lønnstrinn -&gt; Lønnsbånd'!$B$6:$B$88,'Lønnstrinn -&gt; Lønnsbånd'!$G$6:$G$88,0,1,)*N42</f>
        <v>0</v>
      </c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</row>
    <row r="43" spans="1:34" x14ac:dyDescent="0.25">
      <c r="A43" s="41"/>
      <c r="B43" t="str">
        <f>IF(A43="","",_xlfn.XLOOKUP(A43,'Oppslag-fane'!$F:$F,'Oppslag-fane'!$G:$G,,,))</f>
        <v/>
      </c>
      <c r="C43" t="str">
        <f>IF(A43="","",_xlfn.XLOOKUP(A43,'Oppslag-fane'!$F$7:$F$462,'Oppslag-fane'!$G$7:$G$462))</f>
        <v/>
      </c>
      <c r="D43" t="s">
        <v>371</v>
      </c>
      <c r="E43" s="41"/>
      <c r="F43" s="71"/>
      <c r="G43" s="41"/>
      <c r="H43" s="49"/>
      <c r="I43" s="66"/>
      <c r="J43" s="65" t="str">
        <f>IF(I43="","",#REF!-I43)</f>
        <v/>
      </c>
      <c r="K43" s="67"/>
      <c r="L43" s="68"/>
      <c r="M43" s="29">
        <f t="shared" si="4"/>
        <v>0</v>
      </c>
      <c r="N43" s="29">
        <f t="shared" si="5"/>
        <v>0</v>
      </c>
      <c r="O43" s="29">
        <f>_xlfn.XLOOKUP(F43,'Lønnstrinn -&gt; Lønnsbånd'!$B$6:$B$88,'Lønnstrinn -&gt; Lønnsbånd'!$G$6:$G$88,0,1,)*N43</f>
        <v>0</v>
      </c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</row>
    <row r="44" spans="1:34" x14ac:dyDescent="0.25">
      <c r="A44" s="41"/>
      <c r="B44" t="str">
        <f>IF(A44="","",_xlfn.XLOOKUP(A44,'Oppslag-fane'!$F:$F,'Oppslag-fane'!$G:$G,,,))</f>
        <v/>
      </c>
      <c r="C44" t="str">
        <f>IF(A44="","",_xlfn.XLOOKUP(A44,'Oppslag-fane'!$F$7:$F$462,'Oppslag-fane'!$G$7:$G$462))</f>
        <v/>
      </c>
      <c r="D44" t="s">
        <v>371</v>
      </c>
      <c r="E44" s="41"/>
      <c r="F44" s="71"/>
      <c r="G44" s="41"/>
      <c r="H44" s="49"/>
      <c r="I44" s="66"/>
      <c r="J44" s="65" t="str">
        <f>IF(I44="","",#REF!-I44)</f>
        <v/>
      </c>
      <c r="K44" s="67"/>
      <c r="L44" s="68"/>
      <c r="M44" s="29">
        <f t="shared" si="4"/>
        <v>0</v>
      </c>
      <c r="N44" s="29">
        <f t="shared" si="5"/>
        <v>0</v>
      </c>
      <c r="O44" s="29">
        <f>_xlfn.XLOOKUP(F44,'Lønnstrinn -&gt; Lønnsbånd'!$B$6:$B$88,'Lønnstrinn -&gt; Lønnsbånd'!$G$6:$G$88,0,1,)*N44</f>
        <v>0</v>
      </c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</row>
    <row r="45" spans="1:34" x14ac:dyDescent="0.25">
      <c r="A45" s="41"/>
      <c r="B45" t="str">
        <f>IF(A45="","",_xlfn.XLOOKUP(A45,'Oppslag-fane'!$F:$F,'Oppslag-fane'!$G:$G,,,))</f>
        <v/>
      </c>
      <c r="C45" t="str">
        <f>IF(A45="","",_xlfn.XLOOKUP(A45,'Oppslag-fane'!$F$7:$F$462,'Oppslag-fane'!$G$7:$G$462))</f>
        <v/>
      </c>
      <c r="D45" t="s">
        <v>371</v>
      </c>
      <c r="E45" s="41"/>
      <c r="F45" s="71"/>
      <c r="G45" s="41"/>
      <c r="H45" s="49"/>
      <c r="I45" s="66"/>
      <c r="J45" s="65" t="str">
        <f>IF(I45="","",#REF!-I45)</f>
        <v/>
      </c>
      <c r="K45" s="67"/>
      <c r="L45" s="68"/>
      <c r="M45" s="29">
        <f t="shared" si="4"/>
        <v>0</v>
      </c>
      <c r="N45" s="29">
        <f t="shared" si="5"/>
        <v>0</v>
      </c>
      <c r="O45" s="29">
        <f>_xlfn.XLOOKUP(F45,'Lønnstrinn -&gt; Lønnsbånd'!$B$6:$B$88,'Lønnstrinn -&gt; Lønnsbånd'!$G$6:$G$88,0,1,)*N45</f>
        <v>0</v>
      </c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</row>
    <row r="46" spans="1:34" x14ac:dyDescent="0.25">
      <c r="A46" s="41"/>
      <c r="B46" t="str">
        <f>IF(A46="","",_xlfn.XLOOKUP(A46,'Oppslag-fane'!$F:$F,'Oppslag-fane'!$G:$G,,,))</f>
        <v/>
      </c>
      <c r="C46" t="str">
        <f>IF(A46="","",_xlfn.XLOOKUP(A46,'Oppslag-fane'!$F$7:$F$462,'Oppslag-fane'!$G$7:$G$462))</f>
        <v/>
      </c>
      <c r="D46" t="s">
        <v>371</v>
      </c>
      <c r="E46" s="41"/>
      <c r="F46" s="71"/>
      <c r="G46" s="41"/>
      <c r="H46" s="49"/>
      <c r="I46" s="66"/>
      <c r="J46" s="65" t="str">
        <f>IF(I46="","",#REF!-I46)</f>
        <v/>
      </c>
      <c r="K46" s="67"/>
      <c r="L46" s="68"/>
      <c r="M46" s="29">
        <f t="shared" si="4"/>
        <v>0</v>
      </c>
      <c r="N46" s="29">
        <f t="shared" si="5"/>
        <v>0</v>
      </c>
      <c r="O46" s="29">
        <f>_xlfn.XLOOKUP(F46,'Lønnstrinn -&gt; Lønnsbånd'!$B$6:$B$88,'Lønnstrinn -&gt; Lønnsbånd'!$G$6:$G$88,0,1,)*N46</f>
        <v>0</v>
      </c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</row>
    <row r="47" spans="1:34" x14ac:dyDescent="0.25">
      <c r="A47" s="41"/>
      <c r="B47" t="str">
        <f>IF(A47="","",_xlfn.XLOOKUP(A47,'Oppslag-fane'!$F:$F,'Oppslag-fane'!$G:$G,,,))</f>
        <v/>
      </c>
      <c r="C47" t="str">
        <f>IF(A47="","",_xlfn.XLOOKUP(A47,'Oppslag-fane'!$F$7:$F$462,'Oppslag-fane'!$G$7:$G$462))</f>
        <v/>
      </c>
      <c r="D47" t="s">
        <v>371</v>
      </c>
      <c r="E47" s="41"/>
      <c r="F47" s="71"/>
      <c r="G47" s="41"/>
      <c r="H47" s="49"/>
      <c r="I47" s="66"/>
      <c r="J47" s="65" t="str">
        <f>IF(I47="","",#REF!-I47)</f>
        <v/>
      </c>
      <c r="K47" s="67"/>
      <c r="L47" s="68"/>
      <c r="M47" s="29">
        <f t="shared" si="4"/>
        <v>0</v>
      </c>
      <c r="N47" s="29">
        <f t="shared" si="5"/>
        <v>0</v>
      </c>
      <c r="O47" s="29">
        <f>_xlfn.XLOOKUP(F47,'Lønnstrinn -&gt; Lønnsbånd'!$B$6:$B$88,'Lønnstrinn -&gt; Lønnsbånd'!$G$6:$G$88,0,1,)*N47</f>
        <v>0</v>
      </c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</row>
    <row r="48" spans="1:34" x14ac:dyDescent="0.25">
      <c r="K48" s="23"/>
      <c r="L48" t="str">
        <f>IF(K48="","",#REF!-K48)</f>
        <v/>
      </c>
      <c r="M48" s="20">
        <f>SUM(M38:M47)</f>
        <v>0</v>
      </c>
      <c r="N48" s="20">
        <f t="shared" ref="N48:O48" si="6">SUM(N38:N47)</f>
        <v>0</v>
      </c>
      <c r="O48" s="20">
        <f t="shared" si="6"/>
        <v>0</v>
      </c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2"/>
      <c r="AC48" s="102"/>
      <c r="AD48" s="102"/>
      <c r="AE48" s="102"/>
      <c r="AF48" s="102"/>
      <c r="AG48" s="102"/>
      <c r="AH48" s="102"/>
    </row>
    <row r="49" spans="1:34" x14ac:dyDescent="0.25">
      <c r="K49" s="23"/>
      <c r="L49" t="str">
        <f>IF(K49="","",#REF!-K49)</f>
        <v/>
      </c>
      <c r="O49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2"/>
    </row>
    <row r="50" spans="1:34" ht="18.75" x14ac:dyDescent="0.3">
      <c r="A50" s="30" t="s">
        <v>373</v>
      </c>
      <c r="K50" s="23"/>
      <c r="L50" t="str">
        <f>IF(K50="","",#REF!-K50)</f>
        <v/>
      </c>
      <c r="O50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  <c r="AE50" s="102"/>
      <c r="AF50" s="102"/>
      <c r="AG50" s="102"/>
      <c r="AH50" s="102"/>
    </row>
    <row r="51" spans="1:34" x14ac:dyDescent="0.25">
      <c r="K51" s="23"/>
      <c r="L51" t="str">
        <f>IF(K51="","",#REF!-K51)</f>
        <v/>
      </c>
      <c r="O51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2"/>
      <c r="AE51" s="102"/>
      <c r="AF51" s="102"/>
      <c r="AG51" s="102"/>
      <c r="AH51" s="102"/>
    </row>
    <row r="52" spans="1:34" ht="75" x14ac:dyDescent="0.25">
      <c r="A52" s="1" t="s">
        <v>2</v>
      </c>
      <c r="B52" s="1"/>
      <c r="C52" s="1" t="s">
        <v>2</v>
      </c>
      <c r="D52" s="1" t="s">
        <v>339</v>
      </c>
      <c r="E52" s="1"/>
      <c r="F52" s="1"/>
      <c r="G52" s="1" t="s">
        <v>360</v>
      </c>
      <c r="H52" s="51" t="s">
        <v>396</v>
      </c>
      <c r="I52" s="1"/>
      <c r="J52" s="1"/>
      <c r="K52" s="1"/>
      <c r="L52" s="1"/>
      <c r="M52" s="51" t="s">
        <v>325</v>
      </c>
      <c r="N52" s="29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102"/>
      <c r="AC52" s="102"/>
      <c r="AD52" s="102"/>
      <c r="AE52" s="102"/>
      <c r="AF52" s="102"/>
      <c r="AG52" s="102"/>
      <c r="AH52" s="102"/>
    </row>
    <row r="53" spans="1:34" x14ac:dyDescent="0.25">
      <c r="A53" t="str">
        <f>IF(Prosjektopplysninger!B12="Ja",Prosjektopplysninger!B17,"")</f>
        <v/>
      </c>
      <c r="B53" t="str">
        <f>IF(A53="","",_xlfn.XLOOKUP(A53,'Oppslag-fane'!$F:$F,'Oppslag-fane'!$G:$G,,,))</f>
        <v/>
      </c>
      <c r="C53" s="1"/>
      <c r="D53" t="str">
        <f>IF(A53="","","9532 - Leiestedskostnader")</f>
        <v/>
      </c>
      <c r="E53" s="65"/>
      <c r="F53" s="65"/>
      <c r="G53" t="str">
        <f>IF(D53="","","9532 - Husleie ved undervisning i NTNUs lokaler")</f>
        <v/>
      </c>
      <c r="H53" s="8" t="str">
        <f>IF(D53="","",IF(Prosjektopplysninger!B13="Campus",(Prosjektopplysninger!B10*1.5*'Hjelpeberegn_pers og husleie'!C46*('Oppslag-fane'!O39/(40*8*5))),(Prosjektopplysninger!B10*1.5*'Hjelpeberegn_pers og husleie'!C46*('Oppslag-fane'!O40/(40*8*5)))))</f>
        <v/>
      </c>
      <c r="I53" s="66"/>
      <c r="J53" s="65" t="str">
        <f>IF(I53="","",#REF!-I53)</f>
        <v/>
      </c>
      <c r="K53" s="67"/>
      <c r="L53" s="68"/>
      <c r="M53" s="20" t="str">
        <f>H53</f>
        <v/>
      </c>
      <c r="N53" s="29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102"/>
      <c r="AC53" s="102"/>
      <c r="AD53" s="102"/>
      <c r="AE53" s="102"/>
      <c r="AF53" s="102"/>
      <c r="AG53" s="102"/>
      <c r="AH53" s="102"/>
    </row>
    <row r="54" spans="1:34" x14ac:dyDescent="0.25">
      <c r="A54" t="str">
        <f>IF(Prosjektopplysninger!B17="","",Prosjektopplysninger!B17)</f>
        <v/>
      </c>
      <c r="B54" t="str">
        <f>IF(A54="","",_xlfn.XLOOKUP(A54,'Oppslag-fane'!$F:$F,'Oppslag-fane'!$G:$G,,,))</f>
        <v/>
      </c>
      <c r="C54" t="str">
        <f>IF(A54="","",_xlfn.XLOOKUP(A54,'Oppslag-fane'!$F$7:$F$462,'Oppslag-fane'!$G$7:$G$462))</f>
        <v/>
      </c>
      <c r="D54" t="str">
        <f>IF(A54="","","9516 - Indir. Kostn. Stud.")</f>
        <v/>
      </c>
      <c r="E54" s="65"/>
      <c r="F54" s="65"/>
      <c r="G54" t="str">
        <f>IF(D54="","","Indirekte kostnader studenter")</f>
        <v/>
      </c>
      <c r="H54" s="69">
        <f>IF(Prosjektopplysninger!B8="Etterutdanning",(Prosjektopplysninger!B10*Prosjektopplysninger!D6*('Oppslag-fane'!M3)/5),(Prosjektopplysninger!B10*Prosjektopplysninger!D5*'Oppslag-fane'!M3))</f>
        <v>0</v>
      </c>
      <c r="I54" s="66"/>
      <c r="J54" s="65" t="str">
        <f>IF(I54="","",#REF!-I54)</f>
        <v/>
      </c>
      <c r="K54" s="67"/>
      <c r="L54" s="68"/>
      <c r="M54" s="20">
        <f>H54</f>
        <v>0</v>
      </c>
      <c r="N54" s="29"/>
      <c r="P54" s="102"/>
      <c r="Q54" s="102"/>
      <c r="R54" s="103"/>
      <c r="S54" s="103"/>
      <c r="T54" s="103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2"/>
      <c r="AH54" s="102"/>
    </row>
    <row r="55" spans="1:34" x14ac:dyDescent="0.25">
      <c r="A55" s="41"/>
      <c r="B55" t="str">
        <f>IF(A55="","",_xlfn.XLOOKUP(A55,'Oppslag-fane'!$F:$F,'Oppslag-fane'!$G:$G,,,))</f>
        <v/>
      </c>
      <c r="C55" t="str">
        <f>IF(A55="","",_xlfn.XLOOKUP(A55,'Oppslag-fane'!$F$7:$F$462,'Oppslag-fane'!$G$7:$G$462))</f>
        <v/>
      </c>
      <c r="D55" s="41"/>
      <c r="E55" s="65"/>
      <c r="F55" s="65"/>
      <c r="G55" s="41"/>
      <c r="H55" s="49"/>
      <c r="I55" s="66"/>
      <c r="J55" s="65" t="str">
        <f>IF(I55="","",#REF!-I55)</f>
        <v/>
      </c>
      <c r="K55" s="67"/>
      <c r="L55" s="68"/>
      <c r="M55" s="20">
        <f t="shared" ref="M55:M66" si="7">H55</f>
        <v>0</v>
      </c>
      <c r="N55" s="29"/>
      <c r="P55" s="102"/>
      <c r="Q55" s="102"/>
      <c r="R55" s="103"/>
      <c r="S55" s="103"/>
      <c r="T55" s="103"/>
      <c r="U55" s="102"/>
      <c r="V55" s="102"/>
      <c r="W55" s="102"/>
      <c r="X55" s="102"/>
      <c r="Y55" s="102"/>
      <c r="Z55" s="102"/>
      <c r="AA55" s="102"/>
      <c r="AB55" s="102"/>
      <c r="AC55" s="102"/>
      <c r="AD55" s="102"/>
      <c r="AE55" s="102"/>
      <c r="AF55" s="102"/>
      <c r="AG55" s="102"/>
      <c r="AH55" s="102"/>
    </row>
    <row r="56" spans="1:34" x14ac:dyDescent="0.25">
      <c r="A56" s="41"/>
      <c r="B56" t="str">
        <f>IF(A56="","",_xlfn.XLOOKUP(A56,'Oppslag-fane'!$F:$F,'Oppslag-fane'!$G:$G,,,))</f>
        <v/>
      </c>
      <c r="C56" t="str">
        <f>IF(A56="","",_xlfn.XLOOKUP(A56,'Oppslag-fane'!$F$7:$F$462,'Oppslag-fane'!$G$7:$G$462))</f>
        <v/>
      </c>
      <c r="D56" s="41"/>
      <c r="E56" s="65"/>
      <c r="F56" s="65"/>
      <c r="G56" s="41"/>
      <c r="H56" s="49"/>
      <c r="I56" s="66"/>
      <c r="J56" s="65" t="str">
        <f>IF(I56="","",#REF!-I56)</f>
        <v/>
      </c>
      <c r="K56" s="67"/>
      <c r="L56" s="68"/>
      <c r="M56" s="20">
        <f t="shared" si="7"/>
        <v>0</v>
      </c>
      <c r="N56" s="29"/>
      <c r="P56" s="102"/>
      <c r="Q56" s="102"/>
      <c r="R56" s="103"/>
      <c r="S56" s="103"/>
      <c r="T56" s="103"/>
      <c r="U56" s="102"/>
      <c r="V56" s="102"/>
      <c r="W56" s="102"/>
      <c r="X56" s="102"/>
      <c r="Y56" s="102"/>
      <c r="Z56" s="102"/>
      <c r="AA56" s="102"/>
      <c r="AB56" s="102"/>
      <c r="AC56" s="102"/>
      <c r="AD56" s="102"/>
      <c r="AE56" s="102"/>
      <c r="AF56" s="102"/>
      <c r="AG56" s="102"/>
      <c r="AH56" s="102"/>
    </row>
    <row r="57" spans="1:34" x14ac:dyDescent="0.25">
      <c r="A57" s="41"/>
      <c r="B57" t="str">
        <f>IF(A57="","",_xlfn.XLOOKUP(A57,'Oppslag-fane'!$F:$F,'Oppslag-fane'!$G:$G,,,))</f>
        <v/>
      </c>
      <c r="C57" t="str">
        <f>IF(A57="","",_xlfn.XLOOKUP(A57,'Oppslag-fane'!$F$7:$F$462,'Oppslag-fane'!$G$7:$G$462))</f>
        <v/>
      </c>
      <c r="D57" s="41"/>
      <c r="E57" s="65"/>
      <c r="F57" s="65"/>
      <c r="G57" s="41"/>
      <c r="H57" s="49"/>
      <c r="I57" s="66"/>
      <c r="J57" s="65" t="str">
        <f>IF(I57="","",#REF!-I57)</f>
        <v/>
      </c>
      <c r="K57" s="67"/>
      <c r="L57" s="68"/>
      <c r="M57" s="20">
        <f t="shared" si="7"/>
        <v>0</v>
      </c>
      <c r="N57" s="29"/>
      <c r="P57" s="102"/>
      <c r="Q57" s="102"/>
      <c r="R57" s="103"/>
      <c r="S57" s="103"/>
      <c r="T57" s="103"/>
      <c r="U57" s="102"/>
      <c r="V57" s="102"/>
      <c r="W57" s="102"/>
      <c r="X57" s="102"/>
      <c r="Y57" s="102"/>
      <c r="Z57" s="102"/>
      <c r="AA57" s="102"/>
      <c r="AB57" s="102"/>
      <c r="AC57" s="102"/>
      <c r="AD57" s="102"/>
      <c r="AE57" s="102"/>
      <c r="AF57" s="102"/>
      <c r="AG57" s="102"/>
      <c r="AH57" s="102"/>
    </row>
    <row r="58" spans="1:34" x14ac:dyDescent="0.25">
      <c r="A58" s="41"/>
      <c r="D58" s="41"/>
      <c r="E58" s="65"/>
      <c r="F58" s="65"/>
      <c r="G58" s="41"/>
      <c r="H58" s="49"/>
      <c r="I58" s="66"/>
      <c r="J58" s="65"/>
      <c r="K58" s="67"/>
      <c r="L58" s="68"/>
      <c r="M58" s="20">
        <f t="shared" si="7"/>
        <v>0</v>
      </c>
      <c r="N58" s="29"/>
      <c r="P58" s="102"/>
      <c r="Q58" s="102"/>
      <c r="R58" s="103"/>
      <c r="S58" s="103"/>
      <c r="T58" s="103"/>
      <c r="U58" s="102"/>
      <c r="V58" s="102"/>
      <c r="W58" s="102"/>
      <c r="X58" s="102"/>
      <c r="Y58" s="102"/>
      <c r="Z58" s="102"/>
      <c r="AA58" s="102"/>
      <c r="AB58" s="102"/>
      <c r="AC58" s="102"/>
      <c r="AD58" s="102"/>
      <c r="AE58" s="102"/>
      <c r="AF58" s="102"/>
      <c r="AG58" s="102"/>
      <c r="AH58" s="102"/>
    </row>
    <row r="59" spans="1:34" x14ac:dyDescent="0.25">
      <c r="A59" s="41"/>
      <c r="D59" s="41"/>
      <c r="E59" s="65"/>
      <c r="F59" s="65"/>
      <c r="G59" s="41"/>
      <c r="H59" s="49"/>
      <c r="I59" s="66"/>
      <c r="J59" s="65"/>
      <c r="K59" s="67"/>
      <c r="L59" s="68"/>
      <c r="M59" s="20">
        <f t="shared" si="7"/>
        <v>0</v>
      </c>
      <c r="N59" s="29"/>
      <c r="P59" s="102"/>
      <c r="Q59" s="102"/>
      <c r="R59" s="103"/>
      <c r="S59" s="103"/>
      <c r="T59" s="103"/>
      <c r="U59" s="102"/>
      <c r="V59" s="102"/>
      <c r="W59" s="102"/>
      <c r="X59" s="102"/>
      <c r="Y59" s="102"/>
      <c r="Z59" s="102"/>
      <c r="AA59" s="102"/>
      <c r="AB59" s="102"/>
      <c r="AC59" s="102"/>
      <c r="AD59" s="102"/>
      <c r="AE59" s="102"/>
      <c r="AF59" s="102"/>
      <c r="AG59" s="102"/>
      <c r="AH59" s="102"/>
    </row>
    <row r="60" spans="1:34" x14ac:dyDescent="0.25">
      <c r="A60" s="41"/>
      <c r="D60" s="41"/>
      <c r="E60" s="65"/>
      <c r="F60" s="65"/>
      <c r="G60" s="41"/>
      <c r="H60" s="49"/>
      <c r="I60" s="66"/>
      <c r="J60" s="65"/>
      <c r="K60" s="67"/>
      <c r="L60" s="68"/>
      <c r="M60" s="20">
        <f t="shared" si="7"/>
        <v>0</v>
      </c>
      <c r="N60" s="29"/>
      <c r="P60" s="102"/>
      <c r="Q60" s="102"/>
      <c r="R60" s="103"/>
      <c r="S60" s="103"/>
      <c r="T60" s="103"/>
      <c r="U60" s="102"/>
      <c r="V60" s="102"/>
      <c r="W60" s="102"/>
      <c r="X60" s="102"/>
      <c r="Y60" s="102"/>
      <c r="Z60" s="102"/>
      <c r="AA60" s="102"/>
      <c r="AB60" s="102"/>
      <c r="AC60" s="102"/>
      <c r="AD60" s="102"/>
      <c r="AE60" s="102"/>
      <c r="AF60" s="102"/>
      <c r="AG60" s="102"/>
      <c r="AH60" s="102"/>
    </row>
    <row r="61" spans="1:34" x14ac:dyDescent="0.25">
      <c r="A61" s="41"/>
      <c r="D61" s="41"/>
      <c r="E61" s="65"/>
      <c r="F61" s="65"/>
      <c r="G61" s="41"/>
      <c r="H61" s="49"/>
      <c r="I61" s="66"/>
      <c r="J61" s="65"/>
      <c r="K61" s="67"/>
      <c r="L61" s="68"/>
      <c r="M61" s="20">
        <f t="shared" si="7"/>
        <v>0</v>
      </c>
      <c r="N61" s="29"/>
      <c r="P61" s="102"/>
      <c r="Q61" s="102"/>
      <c r="R61" s="103"/>
      <c r="S61" s="103"/>
      <c r="T61" s="103"/>
      <c r="U61" s="102"/>
      <c r="V61" s="102"/>
      <c r="W61" s="102"/>
      <c r="X61" s="102"/>
      <c r="Y61" s="102"/>
      <c r="Z61" s="102"/>
      <c r="AA61" s="102"/>
      <c r="AB61" s="102"/>
      <c r="AC61" s="102"/>
      <c r="AD61" s="102"/>
      <c r="AE61" s="102"/>
      <c r="AF61" s="102"/>
      <c r="AG61" s="102"/>
      <c r="AH61" s="102"/>
    </row>
    <row r="62" spans="1:34" x14ac:dyDescent="0.25">
      <c r="A62" s="41"/>
      <c r="D62" s="41"/>
      <c r="E62" s="65"/>
      <c r="F62" s="65"/>
      <c r="G62" s="41"/>
      <c r="H62" s="49"/>
      <c r="I62" s="66"/>
      <c r="J62" s="65"/>
      <c r="K62" s="67"/>
      <c r="L62" s="68"/>
      <c r="M62" s="20">
        <f t="shared" si="7"/>
        <v>0</v>
      </c>
      <c r="N62" s="29"/>
      <c r="P62" s="102"/>
      <c r="Q62" s="102"/>
      <c r="R62" s="103"/>
      <c r="S62" s="103"/>
      <c r="T62" s="103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F62" s="102"/>
      <c r="AG62" s="102"/>
      <c r="AH62" s="102"/>
    </row>
    <row r="63" spans="1:34" x14ac:dyDescent="0.25">
      <c r="A63" s="41"/>
      <c r="D63" s="41"/>
      <c r="E63" s="65"/>
      <c r="F63" s="65"/>
      <c r="G63" s="41"/>
      <c r="H63" s="49"/>
      <c r="I63" s="66"/>
      <c r="J63" s="65"/>
      <c r="K63" s="67"/>
      <c r="L63" s="68"/>
      <c r="M63" s="20">
        <f t="shared" si="7"/>
        <v>0</v>
      </c>
      <c r="N63" s="29"/>
      <c r="P63" s="102"/>
      <c r="Q63" s="102"/>
      <c r="R63" s="103"/>
      <c r="S63" s="103"/>
      <c r="T63" s="103"/>
      <c r="U63" s="102"/>
      <c r="V63" s="102"/>
      <c r="W63" s="102"/>
      <c r="X63" s="102"/>
      <c r="Y63" s="102"/>
      <c r="Z63" s="102"/>
      <c r="AA63" s="102"/>
      <c r="AB63" s="102"/>
      <c r="AC63" s="102"/>
      <c r="AD63" s="102"/>
      <c r="AE63" s="102"/>
      <c r="AF63" s="102"/>
      <c r="AG63" s="102"/>
      <c r="AH63" s="102"/>
    </row>
    <row r="64" spans="1:34" x14ac:dyDescent="0.25">
      <c r="A64" s="41"/>
      <c r="D64" s="41"/>
      <c r="E64" s="65"/>
      <c r="F64" s="65"/>
      <c r="G64" s="41"/>
      <c r="H64" s="49"/>
      <c r="I64" s="66"/>
      <c r="J64" s="65"/>
      <c r="K64" s="67"/>
      <c r="L64" s="68"/>
      <c r="M64" s="20">
        <f t="shared" si="7"/>
        <v>0</v>
      </c>
      <c r="N64" s="29"/>
      <c r="P64" s="102"/>
      <c r="Q64" s="102"/>
      <c r="R64" s="103"/>
      <c r="S64" s="103"/>
      <c r="T64" s="103"/>
      <c r="U64" s="102"/>
      <c r="V64" s="102"/>
      <c r="W64" s="102"/>
      <c r="X64" s="102"/>
      <c r="Y64" s="102"/>
      <c r="Z64" s="102"/>
      <c r="AA64" s="102"/>
      <c r="AB64" s="102"/>
      <c r="AC64" s="102"/>
      <c r="AD64" s="102"/>
      <c r="AE64" s="102"/>
      <c r="AF64" s="102"/>
      <c r="AG64" s="102"/>
      <c r="AH64" s="102"/>
    </row>
    <row r="65" spans="1:34" x14ac:dyDescent="0.25">
      <c r="A65" s="41"/>
      <c r="D65" s="41"/>
      <c r="E65" s="65"/>
      <c r="F65" s="65"/>
      <c r="G65" s="41"/>
      <c r="H65" s="49"/>
      <c r="I65" s="66"/>
      <c r="J65" s="65"/>
      <c r="K65" s="67"/>
      <c r="L65" s="68"/>
      <c r="M65" s="20">
        <f t="shared" si="7"/>
        <v>0</v>
      </c>
      <c r="N65" s="29"/>
      <c r="P65" s="102"/>
      <c r="Q65" s="102"/>
      <c r="R65" s="103"/>
      <c r="S65" s="103"/>
      <c r="T65" s="103"/>
      <c r="U65" s="102"/>
      <c r="V65" s="102"/>
      <c r="W65" s="102"/>
      <c r="X65" s="102"/>
      <c r="Y65" s="102"/>
      <c r="Z65" s="102"/>
      <c r="AA65" s="102"/>
      <c r="AB65" s="102"/>
      <c r="AC65" s="102"/>
      <c r="AD65" s="102"/>
      <c r="AE65" s="102"/>
      <c r="AF65" s="102"/>
      <c r="AG65" s="102"/>
      <c r="AH65" s="102"/>
    </row>
    <row r="66" spans="1:34" x14ac:dyDescent="0.25">
      <c r="A66" s="41"/>
      <c r="B66" t="str">
        <f>IF(A66="","",_xlfn.XLOOKUP(A66,'Oppslag-fane'!$F:$F,'Oppslag-fane'!$G:$G,,,))</f>
        <v/>
      </c>
      <c r="C66" t="str">
        <f>IF(A66="","",_xlfn.XLOOKUP(A66,'Oppslag-fane'!$F$7:$F$462,'Oppslag-fane'!$G$7:$G$462))</f>
        <v/>
      </c>
      <c r="D66" s="41"/>
      <c r="E66" s="65"/>
      <c r="F66" s="65"/>
      <c r="G66" s="41"/>
      <c r="H66" s="49"/>
      <c r="I66" s="66"/>
      <c r="J66" s="65" t="str">
        <f>IF(I66="","",#REF!-I66)</f>
        <v/>
      </c>
      <c r="K66" s="67"/>
      <c r="L66" s="68"/>
      <c r="M66" s="20">
        <f t="shared" si="7"/>
        <v>0</v>
      </c>
      <c r="N66" s="29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102"/>
      <c r="AA66" s="102"/>
      <c r="AB66" s="102"/>
      <c r="AC66" s="102"/>
      <c r="AD66" s="102"/>
      <c r="AE66" s="102"/>
      <c r="AF66" s="102"/>
      <c r="AG66" s="102"/>
      <c r="AH66" s="102"/>
    </row>
    <row r="67" spans="1:34" x14ac:dyDescent="0.25">
      <c r="A67" s="41"/>
      <c r="B67" t="str">
        <f>IF(A67="","",_xlfn.XLOOKUP(A67,'Oppslag-fane'!$F:$F,'Oppslag-fane'!$G:$G,,,))</f>
        <v/>
      </c>
      <c r="C67" t="str">
        <f>IF(A67="","",_xlfn.XLOOKUP(A67,'Oppslag-fane'!$F$7:$F$462,'Oppslag-fane'!$G$7:$G$462))</f>
        <v/>
      </c>
      <c r="D67" s="41"/>
      <c r="E67" s="65"/>
      <c r="F67" s="65"/>
      <c r="G67" s="41"/>
      <c r="H67" s="49"/>
      <c r="I67" s="66"/>
      <c r="J67" s="65" t="str">
        <f>IF(I67="","",#REF!-I67)</f>
        <v/>
      </c>
      <c r="K67" s="67"/>
      <c r="L67" s="68"/>
      <c r="M67" s="20">
        <f t="shared" ref="M67:M73" si="8">H67</f>
        <v>0</v>
      </c>
      <c r="P67" s="103"/>
      <c r="Q67" s="102"/>
      <c r="R67" s="102"/>
      <c r="S67" s="102"/>
      <c r="T67" s="102"/>
      <c r="U67" s="102"/>
      <c r="V67" s="102"/>
      <c r="W67" s="102"/>
      <c r="X67" s="102"/>
      <c r="Y67" s="102"/>
      <c r="Z67" s="102"/>
      <c r="AA67" s="102"/>
      <c r="AB67" s="102"/>
      <c r="AC67" s="102"/>
      <c r="AD67" s="102"/>
      <c r="AE67" s="102"/>
      <c r="AF67" s="102"/>
      <c r="AG67" s="102"/>
      <c r="AH67" s="102"/>
    </row>
    <row r="68" spans="1:34" x14ac:dyDescent="0.25">
      <c r="A68" s="41"/>
      <c r="B68" t="str">
        <f>IF(A68="","",_xlfn.XLOOKUP(A68,'Oppslag-fane'!$F:$F,'Oppslag-fane'!$G:$G,,,))</f>
        <v/>
      </c>
      <c r="C68" t="str">
        <f>IF(A68="","",_xlfn.XLOOKUP(A68,'Oppslag-fane'!$F$7:$F$462,'Oppslag-fane'!$G$7:$G$462))</f>
        <v/>
      </c>
      <c r="D68" s="41"/>
      <c r="E68" s="65"/>
      <c r="F68" s="65"/>
      <c r="G68" s="41"/>
      <c r="H68" s="49"/>
      <c r="I68" s="66"/>
      <c r="J68" s="65" t="str">
        <f>IF(I68="","",#REF!-I68)</f>
        <v/>
      </c>
      <c r="K68" s="67"/>
      <c r="L68" s="68"/>
      <c r="M68" s="20">
        <f t="shared" si="8"/>
        <v>0</v>
      </c>
      <c r="O68"/>
      <c r="P68" s="103"/>
      <c r="Q68" s="103"/>
      <c r="R68" s="102"/>
      <c r="S68" s="102"/>
      <c r="T68" s="102"/>
      <c r="U68" s="102"/>
      <c r="V68" s="102"/>
      <c r="W68" s="102"/>
      <c r="X68" s="102"/>
      <c r="Y68" s="102"/>
      <c r="Z68" s="102"/>
      <c r="AA68" s="102"/>
      <c r="AB68" s="102"/>
      <c r="AC68" s="102"/>
      <c r="AD68" s="102"/>
      <c r="AE68" s="102"/>
      <c r="AF68" s="102"/>
      <c r="AG68" s="102"/>
      <c r="AH68" s="102"/>
    </row>
    <row r="69" spans="1:34" x14ac:dyDescent="0.25">
      <c r="A69" s="41"/>
      <c r="B69" t="str">
        <f>IF(A69="","",_xlfn.XLOOKUP(A69,'Oppslag-fane'!$F:$F,'Oppslag-fane'!$G:$G,,,))</f>
        <v/>
      </c>
      <c r="C69" t="str">
        <f>IF(A69="","",_xlfn.XLOOKUP(A69,'Oppslag-fane'!$F$7:$F$462,'Oppslag-fane'!$G$7:$G$462))</f>
        <v/>
      </c>
      <c r="D69" s="41"/>
      <c r="E69" s="65"/>
      <c r="F69" s="65"/>
      <c r="G69" s="41"/>
      <c r="H69" s="49"/>
      <c r="I69" s="66"/>
      <c r="J69" s="65" t="str">
        <f>IF(I69="","",#REF!-I69)</f>
        <v/>
      </c>
      <c r="K69" s="67"/>
      <c r="L69" s="68"/>
      <c r="M69" s="20">
        <f t="shared" si="8"/>
        <v>0</v>
      </c>
      <c r="O69"/>
      <c r="P69" s="103"/>
      <c r="Q69" s="103"/>
      <c r="R69" s="102"/>
      <c r="S69" s="102"/>
      <c r="T69" s="102"/>
      <c r="U69" s="102"/>
      <c r="V69" s="102"/>
      <c r="W69" s="102"/>
      <c r="X69" s="102"/>
      <c r="Y69" s="102"/>
      <c r="Z69" s="102"/>
      <c r="AA69" s="102"/>
      <c r="AB69" s="102"/>
      <c r="AC69" s="102"/>
      <c r="AD69" s="102"/>
      <c r="AE69" s="102"/>
      <c r="AF69" s="102"/>
      <c r="AG69" s="102"/>
      <c r="AH69" s="102"/>
    </row>
    <row r="70" spans="1:34" x14ac:dyDescent="0.25">
      <c r="A70" s="41"/>
      <c r="B70" t="str">
        <f>IF(A70="","",_xlfn.XLOOKUP(A70,'Oppslag-fane'!$F:$F,'Oppslag-fane'!$G:$G,,,))</f>
        <v/>
      </c>
      <c r="C70" t="str">
        <f>IF(A70="","",_xlfn.XLOOKUP(A70,'Oppslag-fane'!$F$7:$F$462,'Oppslag-fane'!$G$7:$G$462))</f>
        <v/>
      </c>
      <c r="D70" s="41"/>
      <c r="E70" s="65"/>
      <c r="F70" s="65"/>
      <c r="G70" s="41"/>
      <c r="H70" s="49"/>
      <c r="I70" s="66"/>
      <c r="J70" s="65" t="str">
        <f>IF(I70="","",#REF!-I70)</f>
        <v/>
      </c>
      <c r="K70" s="67"/>
      <c r="L70" s="68"/>
      <c r="M70" s="20">
        <f t="shared" si="8"/>
        <v>0</v>
      </c>
      <c r="P70" s="103"/>
      <c r="Q70" s="102"/>
      <c r="R70" s="102"/>
      <c r="S70" s="102"/>
      <c r="T70" s="102"/>
      <c r="U70" s="102"/>
      <c r="V70" s="102"/>
      <c r="W70" s="102"/>
      <c r="X70" s="102"/>
      <c r="Y70" s="102"/>
      <c r="Z70" s="102"/>
      <c r="AA70" s="102"/>
      <c r="AB70" s="102"/>
      <c r="AC70" s="102"/>
      <c r="AD70" s="102"/>
      <c r="AE70" s="102"/>
      <c r="AF70" s="102"/>
      <c r="AG70" s="102"/>
      <c r="AH70" s="102"/>
    </row>
    <row r="71" spans="1:34" x14ac:dyDescent="0.25">
      <c r="A71" s="41"/>
      <c r="B71" t="str">
        <f>IF(A71="","",_xlfn.XLOOKUP(A71,'Oppslag-fane'!$F:$F,'Oppslag-fane'!$G:$G,,,))</f>
        <v/>
      </c>
      <c r="C71" t="str">
        <f>IF(A71="","",_xlfn.XLOOKUP(A71,'Oppslag-fane'!$F$7:$F$462,'Oppslag-fane'!$G$7:$G$462))</f>
        <v/>
      </c>
      <c r="D71" s="41"/>
      <c r="E71" s="65"/>
      <c r="F71" s="65"/>
      <c r="G71" s="41"/>
      <c r="H71" s="49"/>
      <c r="I71" s="66"/>
      <c r="J71" s="65" t="str">
        <f>IF(I71="","",#REF!-I71)</f>
        <v/>
      </c>
      <c r="K71" s="67"/>
      <c r="L71" s="68"/>
      <c r="M71" s="20">
        <f t="shared" si="8"/>
        <v>0</v>
      </c>
      <c r="P71" s="103"/>
      <c r="Q71" s="102"/>
      <c r="R71" s="102"/>
      <c r="S71" s="102"/>
      <c r="T71" s="102"/>
      <c r="U71" s="102"/>
      <c r="V71" s="102"/>
      <c r="W71" s="102"/>
      <c r="X71" s="102"/>
      <c r="Y71" s="102"/>
      <c r="Z71" s="102"/>
      <c r="AA71" s="102"/>
      <c r="AB71" s="102"/>
      <c r="AC71" s="102"/>
      <c r="AD71" s="102"/>
      <c r="AE71" s="102"/>
      <c r="AF71" s="102"/>
      <c r="AG71" s="102"/>
      <c r="AH71" s="102"/>
    </row>
    <row r="72" spans="1:34" x14ac:dyDescent="0.25">
      <c r="A72" s="41"/>
      <c r="B72" t="str">
        <f>IF(A72="","",_xlfn.XLOOKUP(A72,'Oppslag-fane'!$F:$F,'Oppslag-fane'!$G:$G,,,))</f>
        <v/>
      </c>
      <c r="C72" t="str">
        <f>IF(A72="","",_xlfn.XLOOKUP(A72,'Oppslag-fane'!$F$7:$F$462,'Oppslag-fane'!$G$7:$G$462))</f>
        <v/>
      </c>
      <c r="D72" s="41"/>
      <c r="E72" s="65"/>
      <c r="F72" s="65"/>
      <c r="G72" s="41"/>
      <c r="H72" s="49"/>
      <c r="I72" s="66"/>
      <c r="J72" s="65" t="str">
        <f>IF(I72="","",#REF!-I72)</f>
        <v/>
      </c>
      <c r="K72" s="67"/>
      <c r="L72" s="68"/>
      <c r="M72" s="20">
        <f t="shared" si="8"/>
        <v>0</v>
      </c>
      <c r="P72" s="103"/>
      <c r="Q72" s="102"/>
      <c r="R72" s="102"/>
      <c r="S72" s="102"/>
      <c r="T72" s="102"/>
      <c r="U72" s="102"/>
      <c r="V72" s="102"/>
      <c r="W72" s="102"/>
      <c r="X72" s="102"/>
      <c r="Y72" s="102"/>
      <c r="Z72" s="102"/>
      <c r="AA72" s="102"/>
      <c r="AB72" s="102"/>
      <c r="AC72" s="102"/>
      <c r="AD72" s="102"/>
      <c r="AE72" s="102"/>
      <c r="AF72" s="102"/>
      <c r="AG72" s="102"/>
      <c r="AH72" s="102"/>
    </row>
    <row r="73" spans="1:34" x14ac:dyDescent="0.25">
      <c r="A73" s="41"/>
      <c r="B73" t="str">
        <f>IF(A73="","",_xlfn.XLOOKUP(A73,'Oppslag-fane'!$F:$F,'Oppslag-fane'!$G:$G,,,))</f>
        <v/>
      </c>
      <c r="C73" t="str">
        <f>IF(A73="","",_xlfn.XLOOKUP(A73,'Oppslag-fane'!$F$7:$F$462,'Oppslag-fane'!$G$7:$G$462))</f>
        <v/>
      </c>
      <c r="D73" s="41"/>
      <c r="E73" s="65"/>
      <c r="F73" s="65"/>
      <c r="G73" s="41"/>
      <c r="H73" s="49"/>
      <c r="I73" s="66"/>
      <c r="J73" s="65" t="str">
        <f>IF(I73="","",#REF!-I73)</f>
        <v/>
      </c>
      <c r="K73" s="67"/>
      <c r="L73" s="68"/>
      <c r="M73" s="20">
        <f t="shared" si="8"/>
        <v>0</v>
      </c>
      <c r="P73" s="103"/>
      <c r="Q73" s="102"/>
      <c r="R73" s="102"/>
      <c r="S73" s="102"/>
      <c r="T73" s="102"/>
      <c r="U73" s="102"/>
      <c r="V73" s="102"/>
      <c r="W73" s="102"/>
      <c r="X73" s="102"/>
      <c r="Y73" s="102"/>
      <c r="Z73" s="102"/>
      <c r="AA73" s="102"/>
      <c r="AB73" s="102"/>
      <c r="AC73" s="102"/>
      <c r="AD73" s="102"/>
      <c r="AE73" s="102"/>
      <c r="AF73" s="102"/>
      <c r="AG73" s="102"/>
      <c r="AH73" s="102"/>
    </row>
    <row r="74" spans="1:34" x14ac:dyDescent="0.25">
      <c r="M74" s="20">
        <f>SUM(M53:M73)</f>
        <v>0</v>
      </c>
      <c r="P74" s="103"/>
      <c r="Q74" s="102"/>
      <c r="R74" s="102"/>
      <c r="S74" s="102"/>
      <c r="T74" s="102"/>
      <c r="U74" s="102"/>
      <c r="V74" s="102"/>
      <c r="W74" s="102"/>
      <c r="X74" s="102"/>
      <c r="Y74" s="102"/>
      <c r="Z74" s="102"/>
      <c r="AA74" s="102"/>
      <c r="AB74" s="102"/>
      <c r="AC74" s="102"/>
      <c r="AD74" s="102"/>
      <c r="AE74" s="102"/>
      <c r="AF74" s="102"/>
      <c r="AG74" s="102"/>
      <c r="AH74" s="102"/>
    </row>
    <row r="75" spans="1:34" x14ac:dyDescent="0.25">
      <c r="P75" s="103"/>
      <c r="Q75" s="102"/>
      <c r="R75" s="102"/>
      <c r="S75" s="102"/>
      <c r="T75" s="102"/>
      <c r="U75" s="102"/>
      <c r="V75" s="102"/>
      <c r="W75" s="102"/>
      <c r="X75" s="102"/>
      <c r="Y75" s="102"/>
      <c r="Z75" s="102"/>
      <c r="AA75" s="102"/>
      <c r="AB75" s="102"/>
      <c r="AC75" s="102"/>
      <c r="AD75" s="102"/>
      <c r="AE75" s="102"/>
      <c r="AF75" s="102"/>
      <c r="AG75" s="102"/>
      <c r="AH75" s="102"/>
    </row>
    <row r="76" spans="1:34" x14ac:dyDescent="0.25">
      <c r="P76" s="103"/>
      <c r="Q76" s="102"/>
      <c r="R76" s="102"/>
      <c r="S76" s="102"/>
      <c r="T76" s="102"/>
      <c r="U76" s="102"/>
      <c r="V76" s="102"/>
      <c r="W76" s="102"/>
      <c r="X76" s="102"/>
      <c r="Y76" s="102"/>
      <c r="Z76" s="102"/>
      <c r="AA76" s="102"/>
      <c r="AB76" s="102"/>
      <c r="AC76" s="102"/>
      <c r="AD76" s="102"/>
      <c r="AE76" s="102"/>
      <c r="AF76" s="102"/>
      <c r="AG76" s="102"/>
      <c r="AH76" s="102"/>
    </row>
    <row r="77" spans="1:34" ht="21" x14ac:dyDescent="0.35">
      <c r="K77" s="4" t="s">
        <v>393</v>
      </c>
      <c r="L77" s="4"/>
      <c r="M77" s="70">
        <f>M34+M48+M74</f>
        <v>0</v>
      </c>
    </row>
  </sheetData>
  <sheetProtection algorithmName="SHA-512" hashValue="1c4deBiorT33Dv7cRJSRa4DCez2sAd1hKzqe+6OwusjDe9HGIhG4/8ADSD2aYEo28444BTgHKMO3N0uk0J0wiQ==" saltValue="cI+A8ShclAd4nBeRXw9srg==" spinCount="100000" sheet="1" formatCells="0" insertRows="0"/>
  <phoneticPr fontId="11" type="noConversion"/>
  <conditionalFormatting sqref="F38:F47">
    <cfRule type="expression" dxfId="3" priority="4">
      <formula>$A38&gt;0</formula>
    </cfRule>
  </conditionalFormatting>
  <dataValidations count="4">
    <dataValidation type="decimal" operator="greaterThan" allowBlank="1" showInputMessage="1" showErrorMessage="1" errorTitle="Feil inntasting" error="Du må legge inn en positiv tallverdi." prompt="Hvis Årsverk er valgt som enhet må input være 0%-100% (andel pr. år)." sqref="L53:L73 L19:L33 L38:L47" xr:uid="{8D47FEB8-6F51-400B-90BC-AF0CE340F8EA}">
      <formula1>0</formula1>
    </dataValidation>
    <dataValidation type="date" operator="greaterThanOrEqual" allowBlank="1" showInputMessage="1" showErrorMessage="1" sqref="K48:K51 I53:I73 I38:I47" xr:uid="{A2EB08A4-AEB9-49BD-825A-318681DCC772}">
      <formula1>$B$4</formula1>
    </dataValidation>
    <dataValidation type="list" allowBlank="1" showInputMessage="1" showErrorMessage="1" sqref="J48:J51" xr:uid="{04E49713-C22F-497A-9DB9-8F4EFBD97AC1}">
      <formula1>LstLband</formula1>
    </dataValidation>
    <dataValidation type="list" allowBlank="1" showInputMessage="1" showErrorMessage="1" sqref="F19:F33" xr:uid="{3CA608E7-8873-4969-B13B-B98009F09B98}">
      <formula1>"Vitenskapelig,Tekn./Admin."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C95C4D1A-4555-4C89-8AAB-0E36761D2CC9}">
          <x14:formula1>
            <xm:f>'Oppslag-fane'!$N$6:$N$7</xm:f>
          </x14:formula1>
          <xm:sqref>K55:K73 K39:K47</xm:sqref>
        </x14:dataValidation>
        <x14:dataValidation type="list" allowBlank="1" showInputMessage="1" showErrorMessage="1" xr:uid="{7A12503C-1CDC-4221-B6D1-914EC9FF4787}">
          <x14:formula1>
            <xm:f>Prosjektopplysninger!$B$17:$B$21</xm:f>
          </x14:formula1>
          <xm:sqref>A19:A33 A55:A73 A38:A47</xm:sqref>
        </x14:dataValidation>
        <x14:dataValidation type="list" allowBlank="1" showInputMessage="1" showErrorMessage="1" xr:uid="{C01A84A9-110E-43C0-92EA-7379726AF44B}">
          <x14:formula1>
            <xm:f>'Oppslag-fane'!$N$5:$N$7</xm:f>
          </x14:formula1>
          <xm:sqref>K19:K33 K38 K53:K54</xm:sqref>
        </x14:dataValidation>
        <x14:dataValidation type="list" allowBlank="1" showInputMessage="1" showErrorMessage="1" xr:uid="{CE0CD9EE-E899-4E08-91C0-3F744C8067BD}">
          <x14:formula1>
            <xm:f>'Oppslag-fane'!$P$6:$P$7</xm:f>
          </x14:formula1>
          <xm:sqref>D19:D33</xm:sqref>
        </x14:dataValidation>
        <x14:dataValidation type="list" allowBlank="1" showInputMessage="1" showErrorMessage="1" xr:uid="{AE01CA8E-E1EF-4759-A93C-348FAD54427A}">
          <x14:formula1>
            <xm:f>'Oppslag-fane'!$U$7:$U$13</xm:f>
          </x14:formula1>
          <xm:sqref>D55:D73</xm:sqref>
        </x14:dataValidation>
        <x14:dataValidation type="whole" operator="greaterThanOrEqual" allowBlank="1" showInputMessage="1" showErrorMessage="1" xr:uid="{0E8431BD-CE31-4C21-876D-194F849D840C}">
          <x14:formula1>
            <xm:f>Prosjektopplysninger!$B$5</xm:f>
          </x14:formula1>
          <xm:sqref>I19:I33</xm:sqref>
        </x14:dataValidation>
        <x14:dataValidation type="whole" operator="lessThanOrEqual" allowBlank="1" showInputMessage="1" showErrorMessage="1" xr:uid="{83E241F2-FF2E-48C2-A229-5DFB5BBA0530}">
          <x14:formula1>
            <xm:f>Prosjektopplysninger!$B$6</xm:f>
          </x14:formula1>
          <xm:sqref>J19:J33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CDD4A-9362-4633-A12E-08EDC657B937}">
  <sheetPr>
    <tabColor rgb="FF92D050"/>
  </sheetPr>
  <dimension ref="A1:R55"/>
  <sheetViews>
    <sheetView workbookViewId="0">
      <selection activeCell="B21" sqref="B21"/>
    </sheetView>
  </sheetViews>
  <sheetFormatPr defaultColWidth="9.140625" defaultRowHeight="12.75" x14ac:dyDescent="0.2"/>
  <cols>
    <col min="1" max="1" width="59.7109375" style="73" customWidth="1"/>
    <col min="2" max="2" width="19.5703125" style="73" customWidth="1"/>
    <col min="3" max="3" width="13.42578125" style="73" customWidth="1"/>
    <col min="4" max="4" width="16" style="73" customWidth="1"/>
    <col min="5" max="7" width="13.42578125" style="73" customWidth="1"/>
    <col min="8" max="8" width="13.5703125" style="73" bestFit="1" customWidth="1"/>
    <col min="9" max="13" width="13.5703125" style="73" customWidth="1"/>
    <col min="14" max="16384" width="9.140625" style="73"/>
  </cols>
  <sheetData>
    <row r="1" spans="1:18" ht="18" x14ac:dyDescent="0.25">
      <c r="A1" s="72" t="s">
        <v>11</v>
      </c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</row>
    <row r="2" spans="1:18" x14ac:dyDescent="0.2"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</row>
    <row r="3" spans="1:18" x14ac:dyDescent="0.2">
      <c r="B3" s="74" t="s">
        <v>12</v>
      </c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</row>
    <row r="4" spans="1:18" x14ac:dyDescent="0.2">
      <c r="A4" s="75" t="s">
        <v>13</v>
      </c>
      <c r="B4" s="76">
        <f>Prosjektopplysninger!B3</f>
        <v>0</v>
      </c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</row>
    <row r="5" spans="1:18" x14ac:dyDescent="0.2">
      <c r="A5" s="75" t="s">
        <v>14</v>
      </c>
      <c r="B5" s="98">
        <f>Prosjektopplysninger!B5</f>
        <v>0</v>
      </c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</row>
    <row r="6" spans="1:18" x14ac:dyDescent="0.2">
      <c r="A6" s="75" t="s">
        <v>15</v>
      </c>
      <c r="B6" s="98">
        <f>Prosjektopplysninger!B6</f>
        <v>0</v>
      </c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</row>
    <row r="7" spans="1:18" x14ac:dyDescent="0.2"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</row>
    <row r="8" spans="1:18" x14ac:dyDescent="0.2">
      <c r="A8" s="75" t="s">
        <v>397</v>
      </c>
      <c r="B8" s="77">
        <f>Prosjektopplysninger!B10*Prosjektopplysninger!D8</f>
        <v>0</v>
      </c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</row>
    <row r="9" spans="1:18" x14ac:dyDescent="0.2">
      <c r="B9" s="78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</row>
    <row r="10" spans="1:18" x14ac:dyDescent="0.2">
      <c r="B10" s="78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</row>
    <row r="11" spans="1:18" x14ac:dyDescent="0.2">
      <c r="B11" s="78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</row>
    <row r="12" spans="1:18" x14ac:dyDescent="0.2">
      <c r="B12" s="78"/>
      <c r="C12" s="79" t="str">
        <f>IF(Prosjektopplysninger!B17="","",Prosjektopplysninger!B17)</f>
        <v/>
      </c>
      <c r="D12" s="79">
        <f>Prosjektopplysninger!B18</f>
        <v>16901505</v>
      </c>
      <c r="E12" s="79" t="str">
        <f>IF(Prosjektopplysninger!B19="","",Prosjektopplysninger!B19)</f>
        <v/>
      </c>
      <c r="F12" s="79" t="str">
        <f>IF(Prosjektopplysninger!B20="","",Prosjektopplysninger!B20)</f>
        <v/>
      </c>
      <c r="G12" s="79" t="str">
        <f>IF(Prosjektopplysninger!B21="","",Prosjektopplysninger!B21)</f>
        <v/>
      </c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</row>
    <row r="13" spans="1:18" ht="18" x14ac:dyDescent="0.25">
      <c r="A13" s="72"/>
      <c r="B13" s="80" t="s">
        <v>341</v>
      </c>
      <c r="C13" s="79" t="str">
        <f>Prosjektopplysninger!C17</f>
        <v/>
      </c>
      <c r="D13" s="99" t="str">
        <f>Prosjektopplysninger!C18</f>
        <v>AUD-SUL-EVU kurs</v>
      </c>
      <c r="E13" s="79" t="str">
        <f>IF(E12="","",Prosjektopplysninger!C19)</f>
        <v/>
      </c>
      <c r="F13" s="79" t="str">
        <f>IF(F12="","",Prosjektopplysninger!C20)</f>
        <v/>
      </c>
      <c r="G13" s="79" t="str">
        <f>IF(G12="","",Prosjektopplysninger!B21)</f>
        <v/>
      </c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</row>
    <row r="14" spans="1:18" ht="18" x14ac:dyDescent="0.25">
      <c r="A14" s="72" t="s">
        <v>16</v>
      </c>
      <c r="B14" s="79"/>
      <c r="C14" s="74"/>
      <c r="D14" s="74"/>
      <c r="E14" s="74"/>
      <c r="F14" s="74"/>
      <c r="G14" s="74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</row>
    <row r="15" spans="1:18" x14ac:dyDescent="0.2">
      <c r="A15" s="81" t="s">
        <v>17</v>
      </c>
      <c r="B15" s="77">
        <f>SUM(C15:G15)</f>
        <v>0</v>
      </c>
      <c r="C15" s="82">
        <f>SUMIF(Kostnadsbudsjett!$A$19:$A$33,'Finans.- og beslutningsrapport'!C$12,Kostnadsbudsjett!$M$19:$M$33)+SUMIF(Kostnadsbudsjett!$A$38:$A$47,'Finans.- og beslutningsrapport'!C$12,Kostnadsbudsjett!$M$38:$M$47)+SUMIF(Kostnadsbudsjett!$A$53:$A$73,'Finans.- og beslutningsrapport'!C$12,Kostnadsbudsjett!$M$53:$M$73)</f>
        <v>0</v>
      </c>
      <c r="D15" s="82">
        <f>SUMIF(Kostnadsbudsjett!$A$19:$A$33,'Finans.- og beslutningsrapport'!D$12,Kostnadsbudsjett!$M$19:$M$33)+SUMIF(Kostnadsbudsjett!$A$38:$A$47,'Finans.- og beslutningsrapport'!D$12,Kostnadsbudsjett!$M$38:$M$47)+SUMIF(Kostnadsbudsjett!$A$53:$A$73,'Finans.- og beslutningsrapport'!D$12,Kostnadsbudsjett!$M$53:$M$73)</f>
        <v>0</v>
      </c>
      <c r="E15" s="82">
        <f>SUMIF(Kostnadsbudsjett!$A$19:$A$33,'Finans.- og beslutningsrapport'!E$12,Kostnadsbudsjett!$M$19:$M$33)+SUMIF(Kostnadsbudsjett!$A$38:$A$47,'Finans.- og beslutningsrapport'!E$12,Kostnadsbudsjett!$M$38:$M$47)+SUMIF(Kostnadsbudsjett!$A$53:$A$73,'Finans.- og beslutningsrapport'!E$12,Kostnadsbudsjett!$M$53:$M$73)</f>
        <v>0</v>
      </c>
      <c r="F15" s="82">
        <f>SUMIF(Kostnadsbudsjett!$A$19:$A$33,'Finans.- og beslutningsrapport'!F$12,Kostnadsbudsjett!$M$19:$M$33)+SUMIF(Kostnadsbudsjett!$A$38:$A$47,'Finans.- og beslutningsrapport'!F$12,Kostnadsbudsjett!$M$38:$M$47)+SUMIF(Kostnadsbudsjett!$A$53:$A$73,'Finans.- og beslutningsrapport'!F$12,Kostnadsbudsjett!$M$53:$M$73)</f>
        <v>0</v>
      </c>
      <c r="G15" s="82">
        <f>SUMIF(Kostnadsbudsjett!$A$19:$A$33,'Finans.- og beslutningsrapport'!G$12,Kostnadsbudsjett!$M$19:$M$33)+SUMIF(Kostnadsbudsjett!$A$38:$A$47,'Finans.- og beslutningsrapport'!G$12,Kostnadsbudsjett!$M$38:$M$47)+SUMIF(Kostnadsbudsjett!$A$53:$A$73,'Finans.- og beslutningsrapport'!G$12,Kostnadsbudsjett!$M$53:$M$73)</f>
        <v>0</v>
      </c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</row>
    <row r="16" spans="1:18" x14ac:dyDescent="0.2">
      <c r="A16" s="81" t="s">
        <v>398</v>
      </c>
      <c r="B16" s="77">
        <f>B8</f>
        <v>0</v>
      </c>
      <c r="C16" s="83">
        <f>IFERROR((C15/($B$15-$D$15))*($B$16-$D$16),0)</f>
        <v>0</v>
      </c>
      <c r="D16" s="83">
        <f>D15</f>
        <v>0</v>
      </c>
      <c r="E16" s="83">
        <f t="shared" ref="E16:G16" si="0">IFERROR((E15/($B$15-$D$15))*($B$16-$D$16),0)</f>
        <v>0</v>
      </c>
      <c r="F16" s="83">
        <f t="shared" si="0"/>
        <v>0</v>
      </c>
      <c r="G16" s="83">
        <f t="shared" si="0"/>
        <v>0</v>
      </c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</row>
    <row r="17" spans="1:18" x14ac:dyDescent="0.2">
      <c r="A17" s="81" t="s">
        <v>18</v>
      </c>
      <c r="B17" s="77">
        <f>SUM(C17:G17)</f>
        <v>0</v>
      </c>
      <c r="C17" s="46"/>
      <c r="D17" s="46"/>
      <c r="E17" s="46"/>
      <c r="F17" s="46"/>
      <c r="G17" s="46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</row>
    <row r="18" spans="1:18" x14ac:dyDescent="0.2">
      <c r="A18" s="81" t="s">
        <v>19</v>
      </c>
      <c r="B18" s="77">
        <f>SUM(C18:G18)</f>
        <v>0</v>
      </c>
      <c r="C18" s="83">
        <f>IF(Prosjektopplysninger!$D$3="Ikke-økonomisk aktivitet",C15-C16-C17,0)</f>
        <v>0</v>
      </c>
      <c r="D18" s="83">
        <f>IF(Prosjektopplysninger!$D$3="Ikke-økonomisk aktivitet",D15-D16-D17,0)</f>
        <v>0</v>
      </c>
      <c r="E18" s="83">
        <f>IF(Prosjektopplysninger!$D$3="Ikke-økonomisk aktivitet",E15-E16-E17,0)</f>
        <v>0</v>
      </c>
      <c r="F18" s="83">
        <f>IF(Prosjektopplysninger!$D$3="Ikke-økonomisk aktivitet",F15-F16-F17,0)</f>
        <v>0</v>
      </c>
      <c r="G18" s="83">
        <f>IF(Prosjektopplysninger!$D$3="Ikke-økonomisk aktivitet",G15-G16-G17,0)</f>
        <v>0</v>
      </c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</row>
    <row r="19" spans="1:18" x14ac:dyDescent="0.2">
      <c r="A19" s="75" t="s">
        <v>405</v>
      </c>
      <c r="B19" s="77">
        <f>SUM(C19:G19)</f>
        <v>0</v>
      </c>
      <c r="C19" s="83">
        <f>IFERROR(IF(Prosjektopplysninger!$D$3="Økonomisk aktivitet",'Finans.- og beslutningsrapport'!C16-'Finans.- og beslutningsrapport'!C15,0),"")</f>
        <v>0</v>
      </c>
      <c r="D19" s="83">
        <f>IFERROR(IF(Prosjektopplysninger!$D$3="Økonomisk aktivitet",'Finans.- og beslutningsrapport'!D16-'Finans.- og beslutningsrapport'!D15,0),"")</f>
        <v>0</v>
      </c>
      <c r="E19" s="83">
        <f>IFERROR(IF(Prosjektopplysninger!$D$3="Økonomisk aktivitet",'Finans.- og beslutningsrapport'!E16-'Finans.- og beslutningsrapport'!E15,0),"")</f>
        <v>0</v>
      </c>
      <c r="F19" s="83">
        <f>IFERROR(IF(Prosjektopplysninger!$D$3="Økonomisk aktivitet",'Finans.- og beslutningsrapport'!F16-'Finans.- og beslutningsrapport'!F15,0),"")</f>
        <v>0</v>
      </c>
      <c r="G19" s="83">
        <f>IFERROR(IF(Prosjektopplysninger!$D$3="Økonomisk aktivitet",'Finans.- og beslutningsrapport'!G16-'Finans.- og beslutningsrapport'!G15,0),"")</f>
        <v>0</v>
      </c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</row>
    <row r="20" spans="1:18" x14ac:dyDescent="0.2"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</row>
    <row r="21" spans="1:18" x14ac:dyDescent="0.2">
      <c r="A21" s="84" t="s">
        <v>343</v>
      </c>
      <c r="B21" s="85" t="str">
        <f>IF(B18&gt;0,B18/B15,"")</f>
        <v/>
      </c>
      <c r="C21" s="86" t="str">
        <f>IF(C18&gt;0,C18/C15,"")</f>
        <v/>
      </c>
      <c r="D21" s="86" t="str">
        <f t="shared" ref="D21:G21" si="1">IF(D18&gt;0,D18/D15,"")</f>
        <v/>
      </c>
      <c r="E21" s="86" t="str">
        <f t="shared" si="1"/>
        <v/>
      </c>
      <c r="F21" s="86" t="str">
        <f t="shared" si="1"/>
        <v/>
      </c>
      <c r="G21" s="86" t="str">
        <f t="shared" si="1"/>
        <v/>
      </c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</row>
    <row r="22" spans="1:18" x14ac:dyDescent="0.2">
      <c r="A22" s="84" t="s">
        <v>406</v>
      </c>
      <c r="B22" s="85" t="str">
        <f>IF(Prosjektopplysninger!$D$3="Økonomisk aktivitet",B19/B16,"")</f>
        <v/>
      </c>
      <c r="C22" s="85" t="str">
        <f>IF(Prosjektopplysninger!$D$3="Økonomisk aktivitet",C19/C16,"")</f>
        <v/>
      </c>
      <c r="D22" s="85" t="str">
        <f>IF(Prosjektopplysninger!$D$3="Økonomisk aktivitet",D19/D16,"")</f>
        <v/>
      </c>
      <c r="E22" s="85" t="str">
        <f>IF(Prosjektopplysninger!$D$3="Økonomisk aktivitet",E19/E16,"")</f>
        <v/>
      </c>
      <c r="F22" s="85" t="str">
        <f>IF(Prosjektopplysninger!$D$3="Økonomisk aktivitet",F19/F16,"")</f>
        <v/>
      </c>
      <c r="G22" s="85" t="str">
        <f>IF(Prosjektopplysninger!$D$3="Økonomisk aktivitet",G19/G16,"")</f>
        <v/>
      </c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</row>
    <row r="23" spans="1:18" x14ac:dyDescent="0.2"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</row>
    <row r="24" spans="1:18" ht="21" x14ac:dyDescent="0.35">
      <c r="A24" s="87" t="s">
        <v>342</v>
      </c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</row>
    <row r="25" spans="1:18" x14ac:dyDescent="0.2">
      <c r="A25" s="81" t="s">
        <v>403</v>
      </c>
      <c r="B25" s="83">
        <f t="shared" ref="B25:B29" si="2">SUM(C25:G25)</f>
        <v>0</v>
      </c>
      <c r="C25" s="82">
        <f>SUMIF(Kostnadsbudsjett!$A$19:$A$33,'Finans.- og beslutningsrapport'!C$12,Kostnadsbudsjett!$O$19:$O$33)+SUMIF(Kostnadsbudsjett!$A$38:$A$47,'Finans.- og beslutningsrapport'!C$12,Kostnadsbudsjett!$O$38:$O$47)+Kostnadsbudsjett!H54</f>
        <v>0</v>
      </c>
      <c r="D25" s="82">
        <f>SUMIF(Kostnadsbudsjett!$A$19:$A$33,'Finans.- og beslutningsrapport'!D$12,Kostnadsbudsjett!$O$19:$O$33)+SUMIF(Kostnadsbudsjett!$A$38:$A$47,'Finans.- og beslutningsrapport'!D$12,Kostnadsbudsjett!$O$38:$O$47)</f>
        <v>0</v>
      </c>
      <c r="E25" s="82">
        <f>SUMIF(Kostnadsbudsjett!$A$19:$A$33,'Finans.- og beslutningsrapport'!E$12,Kostnadsbudsjett!$O$19:$O$33)+SUMIF(Kostnadsbudsjett!$A$38:$A$47,'Finans.- og beslutningsrapport'!E$12,Kostnadsbudsjett!$O$38:$O$47)</f>
        <v>0</v>
      </c>
      <c r="F25" s="82">
        <f>SUMIF(Kostnadsbudsjett!$A$19:$A$33,'Finans.- og beslutningsrapport'!F$12,Kostnadsbudsjett!$O$19:$O$33)+SUMIF(Kostnadsbudsjett!$A$38:$A$47,'Finans.- og beslutningsrapport'!F$12,Kostnadsbudsjett!$O$38:$O$47)</f>
        <v>0</v>
      </c>
      <c r="G25" s="82">
        <f>SUMIF(Kostnadsbudsjett!$A$19:$A$33,'Finans.- og beslutningsrapport'!G$12,Kostnadsbudsjett!$O$19:$O$33)+SUMIF(Kostnadsbudsjett!$A$38:$A$47,'Finans.- og beslutningsrapport'!G$12,Kostnadsbudsjett!$O$38:$O$47)</f>
        <v>0</v>
      </c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</row>
    <row r="26" spans="1:18" x14ac:dyDescent="0.2">
      <c r="A26" s="81" t="s">
        <v>404</v>
      </c>
      <c r="B26" s="83">
        <f t="shared" si="2"/>
        <v>0</v>
      </c>
      <c r="C26" s="82">
        <f>SUMIF(Kostnadsbudsjett!$A$19:$A$33,'Finans.- og beslutningsrapport'!C$12,Kostnadsbudsjett!$N$19:$N$33)</f>
        <v>0</v>
      </c>
      <c r="D26" s="82">
        <f>SUMIF(Kostnadsbudsjett!$A$19:$A$33,'Finans.- og beslutningsrapport'!D$12,Kostnadsbudsjett!$N$19:$N$33)</f>
        <v>0</v>
      </c>
      <c r="E26" s="82">
        <f>SUMIF(Kostnadsbudsjett!$A$19:$A$33,'Finans.- og beslutningsrapport'!E$12,Kostnadsbudsjett!$N$19:$N$33)</f>
        <v>0</v>
      </c>
      <c r="F26" s="82">
        <f>SUMIF(Kostnadsbudsjett!$A$19:$A$33,'Finans.- og beslutningsrapport'!F$12,Kostnadsbudsjett!$N$19:$N$33)</f>
        <v>0</v>
      </c>
      <c r="G26" s="82">
        <f>SUMIF(Kostnadsbudsjett!$A$19:$A$33,'Finans.- og beslutningsrapport'!G$12,Kostnadsbudsjett!$N$19:$N$33)</f>
        <v>0</v>
      </c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</row>
    <row r="27" spans="1:18" x14ac:dyDescent="0.2">
      <c r="A27" s="81" t="s">
        <v>20</v>
      </c>
      <c r="B27" s="83">
        <f t="shared" si="2"/>
        <v>0</v>
      </c>
      <c r="C27" s="46"/>
      <c r="D27" s="46"/>
      <c r="E27" s="46"/>
      <c r="F27" s="46"/>
      <c r="G27" s="46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</row>
    <row r="28" spans="1:18" x14ac:dyDescent="0.2">
      <c r="A28" s="88" t="s">
        <v>21</v>
      </c>
      <c r="B28" s="89">
        <f t="shared" ref="B28:G28" si="3">SUM(B25:B27)</f>
        <v>0</v>
      </c>
      <c r="C28" s="89">
        <f t="shared" si="3"/>
        <v>0</v>
      </c>
      <c r="D28" s="89">
        <f t="shared" si="3"/>
        <v>0</v>
      </c>
      <c r="E28" s="89">
        <f t="shared" si="3"/>
        <v>0</v>
      </c>
      <c r="F28" s="89">
        <f t="shared" si="3"/>
        <v>0</v>
      </c>
      <c r="G28" s="89">
        <f t="shared" si="3"/>
        <v>0</v>
      </c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</row>
    <row r="29" spans="1:18" x14ac:dyDescent="0.2">
      <c r="A29" s="90" t="s">
        <v>22</v>
      </c>
      <c r="B29" s="83">
        <f t="shared" si="2"/>
        <v>0</v>
      </c>
      <c r="C29" s="83">
        <f>C18</f>
        <v>0</v>
      </c>
      <c r="D29" s="83">
        <f>D18</f>
        <v>0</v>
      </c>
      <c r="E29" s="83">
        <f>E18</f>
        <v>0</v>
      </c>
      <c r="F29" s="83">
        <f>F18</f>
        <v>0</v>
      </c>
      <c r="G29" s="83">
        <f>G18</f>
        <v>0</v>
      </c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</row>
    <row r="30" spans="1:18" x14ac:dyDescent="0.2">
      <c r="A30" s="88" t="s">
        <v>23</v>
      </c>
      <c r="B30" s="89">
        <f t="shared" ref="B30:G30" si="4">B28-B29</f>
        <v>0</v>
      </c>
      <c r="C30" s="89">
        <f t="shared" si="4"/>
        <v>0</v>
      </c>
      <c r="D30" s="89">
        <f t="shared" si="4"/>
        <v>0</v>
      </c>
      <c r="E30" s="89">
        <f t="shared" si="4"/>
        <v>0</v>
      </c>
      <c r="F30" s="89">
        <f t="shared" si="4"/>
        <v>0</v>
      </c>
      <c r="G30" s="89">
        <f t="shared" si="4"/>
        <v>0</v>
      </c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</row>
    <row r="31" spans="1:18" x14ac:dyDescent="0.2"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</row>
    <row r="32" spans="1:18" ht="15" x14ac:dyDescent="0.25">
      <c r="A32" s="91" t="s">
        <v>24</v>
      </c>
      <c r="B32" s="92" t="str">
        <f t="shared" ref="B32:G32" si="5">IF((B16+B17)&gt;0,B30/(B16+B17),"")</f>
        <v/>
      </c>
      <c r="C32" s="92" t="str">
        <f t="shared" si="5"/>
        <v/>
      </c>
      <c r="D32" s="92" t="str">
        <f t="shared" si="5"/>
        <v/>
      </c>
      <c r="E32" s="92" t="str">
        <f t="shared" si="5"/>
        <v/>
      </c>
      <c r="F32" s="92" t="str">
        <f t="shared" si="5"/>
        <v/>
      </c>
      <c r="G32" s="92" t="str">
        <f t="shared" si="5"/>
        <v/>
      </c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</row>
    <row r="33" spans="1:18" x14ac:dyDescent="0.2"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</row>
    <row r="34" spans="1:18" x14ac:dyDescent="0.2"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</row>
    <row r="35" spans="1:18" x14ac:dyDescent="0.2">
      <c r="A35" s="105"/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</row>
    <row r="36" spans="1:18" ht="18.75" x14ac:dyDescent="0.3">
      <c r="A36" s="106" t="str">
        <f>IF(Prosjektopplysninger!B8="Etterutdanning",IF(B22&lt;0,"Kurset er økonomisk aktivitet - og må fullfinansieres. Vurder økning av egenbetalingen eller reduser kostnadene",""),IF(Prosjektopplysninger!D3="Økonomisk aktivitet",IF(B22&lt;0,"Kurset er økonomisk aktivitet. Kurset kan, til tross for at det ikke er regnskapsm. fullfinansiert, anses som fullfinansiert - og derved lovlig - i henhold til KDs regler",""),""))</f>
        <v/>
      </c>
      <c r="B36" s="102"/>
      <c r="C36" s="102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</row>
    <row r="37" spans="1:18" x14ac:dyDescent="0.2">
      <c r="A37" s="107" t="str">
        <f>IF(Prosjektopplysninger!B8="Videreutdanning",IF(A36&lt;&gt;"","Dette beregnes i simuleringsverktøyet (Budsjettmodell EVU)",""),"")</f>
        <v/>
      </c>
      <c r="B37" s="107"/>
      <c r="C37" s="107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</row>
    <row r="38" spans="1:18" x14ac:dyDescent="0.2">
      <c r="A38" s="107"/>
      <c r="B38" s="107"/>
      <c r="C38" s="107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</row>
    <row r="39" spans="1:18" x14ac:dyDescent="0.2">
      <c r="A39" s="105"/>
      <c r="B39" s="105"/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</row>
    <row r="40" spans="1:18" x14ac:dyDescent="0.2">
      <c r="A40" s="105"/>
      <c r="B40" s="105"/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</row>
    <row r="41" spans="1:18" x14ac:dyDescent="0.2">
      <c r="A41" s="105"/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</row>
    <row r="42" spans="1:18" x14ac:dyDescent="0.2">
      <c r="A42" s="105"/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</row>
    <row r="43" spans="1:18" x14ac:dyDescent="0.2">
      <c r="A43" s="105"/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</row>
    <row r="44" spans="1:18" x14ac:dyDescent="0.2">
      <c r="A44" s="105"/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</row>
    <row r="45" spans="1:18" x14ac:dyDescent="0.2">
      <c r="A45" s="105"/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</row>
    <row r="46" spans="1:18" x14ac:dyDescent="0.2">
      <c r="A46" s="105"/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</row>
    <row r="47" spans="1:18" x14ac:dyDescent="0.2">
      <c r="A47" s="105"/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</row>
    <row r="48" spans="1:18" x14ac:dyDescent="0.2">
      <c r="A48" s="105"/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</row>
    <row r="49" spans="1:18" x14ac:dyDescent="0.2">
      <c r="A49" s="105"/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</row>
    <row r="50" spans="1:18" x14ac:dyDescent="0.2">
      <c r="A50" s="105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</row>
    <row r="51" spans="1:18" x14ac:dyDescent="0.2">
      <c r="A51" s="105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</row>
    <row r="52" spans="1:18" x14ac:dyDescent="0.2">
      <c r="A52" s="105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</row>
    <row r="53" spans="1:18" x14ac:dyDescent="0.2">
      <c r="A53" s="105"/>
      <c r="B53" s="105"/>
      <c r="C53" s="105"/>
      <c r="D53" s="105"/>
      <c r="E53" s="105"/>
      <c r="F53" s="105"/>
      <c r="G53" s="105"/>
      <c r="H53" s="105"/>
      <c r="I53" s="105"/>
      <c r="J53" s="105"/>
      <c r="K53" s="105"/>
      <c r="L53" s="105"/>
      <c r="M53" s="105"/>
      <c r="N53" s="105"/>
      <c r="O53" s="105"/>
      <c r="P53" s="105"/>
      <c r="Q53" s="105"/>
      <c r="R53" s="105"/>
    </row>
    <row r="54" spans="1:18" x14ac:dyDescent="0.2">
      <c r="A54" s="105"/>
      <c r="B54" s="105"/>
      <c r="C54" s="105"/>
      <c r="D54" s="105"/>
      <c r="E54" s="105"/>
      <c r="F54" s="105"/>
      <c r="G54" s="105"/>
      <c r="H54" s="105"/>
      <c r="I54" s="105"/>
      <c r="J54" s="105"/>
      <c r="K54" s="105"/>
      <c r="L54" s="105"/>
      <c r="M54" s="105"/>
      <c r="N54" s="105"/>
      <c r="O54" s="105"/>
      <c r="P54" s="105"/>
      <c r="Q54" s="105"/>
    </row>
    <row r="55" spans="1:18" x14ac:dyDescent="0.2">
      <c r="A55" s="105"/>
      <c r="B55" s="105"/>
      <c r="C55" s="105"/>
      <c r="D55" s="105"/>
      <c r="E55" s="105"/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5"/>
      <c r="Q55" s="105"/>
    </row>
  </sheetData>
  <sheetProtection algorithmName="SHA-512" hashValue="hNihvbgviB1tlpJIE/0vdzFyfAdBRodYoGWnIbkU4lL8KXZvzB/ZWgO9TTWgwRodDEnFkONXAr571GhkYmNYkw==" saltValue="9YWKoktNWN5SuoY30gjFhw==" spinCount="100000" sheet="1" objects="1" scenarios="1"/>
  <mergeCells count="1">
    <mergeCell ref="A37:C38"/>
  </mergeCells>
  <phoneticPr fontId="11" type="noConversion"/>
  <conditionalFormatting sqref="B19:G19">
    <cfRule type="cellIs" dxfId="2" priority="2" operator="lessThan">
      <formula>0</formula>
    </cfRule>
  </conditionalFormatting>
  <conditionalFormatting sqref="B22:G22">
    <cfRule type="cellIs" dxfId="1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5F7ED-96F1-4258-8F59-2EBDB952EC7E}">
  <sheetPr>
    <tabColor rgb="FFFFFF00"/>
  </sheetPr>
  <dimension ref="A2:AN507"/>
  <sheetViews>
    <sheetView topLeftCell="E1" workbookViewId="0">
      <selection activeCell="F7" sqref="F7"/>
    </sheetView>
  </sheetViews>
  <sheetFormatPr defaultColWidth="8.7109375" defaultRowHeight="15" x14ac:dyDescent="0.25"/>
  <cols>
    <col min="1" max="1" width="10.85546875" customWidth="1"/>
    <col min="2" max="2" width="31.5703125" customWidth="1"/>
    <col min="3" max="4" width="13.28515625" customWidth="1"/>
    <col min="6" max="6" width="12.5703125" customWidth="1"/>
    <col min="7" max="7" width="39.28515625" customWidth="1"/>
    <col min="9" max="9" width="12.85546875" customWidth="1"/>
    <col min="12" max="12" width="9.42578125" customWidth="1"/>
    <col min="14" max="14" width="23.7109375" customWidth="1"/>
    <col min="15" max="16" width="8.7109375" customWidth="1"/>
    <col min="17" max="17" width="12.85546875" style="29" customWidth="1"/>
    <col min="18" max="19" width="8.7109375" customWidth="1"/>
    <col min="21" max="21" width="29.42578125" customWidth="1"/>
  </cols>
  <sheetData>
    <row r="2" spans="1:40" x14ac:dyDescent="0.25">
      <c r="M2" s="5" t="s">
        <v>395</v>
      </c>
    </row>
    <row r="3" spans="1:40" x14ac:dyDescent="0.25">
      <c r="J3" s="28">
        <v>505000</v>
      </c>
      <c r="K3" s="28">
        <v>497000</v>
      </c>
      <c r="L3" s="28">
        <v>217000</v>
      </c>
      <c r="M3" s="28">
        <v>536</v>
      </c>
      <c r="Y3" s="28"/>
      <c r="Z3" s="28"/>
      <c r="AA3" s="28"/>
      <c r="AB3" s="28"/>
    </row>
    <row r="4" spans="1:40" ht="18.75" x14ac:dyDescent="0.3">
      <c r="J4" s="108" t="s">
        <v>320</v>
      </c>
      <c r="K4" s="108"/>
      <c r="L4" s="19" t="s">
        <v>324</v>
      </c>
      <c r="N4" s="30" t="s">
        <v>4</v>
      </c>
    </row>
    <row r="5" spans="1:40" s="31" customFormat="1" ht="18.75" x14ac:dyDescent="0.3">
      <c r="A5" s="30" t="s">
        <v>1</v>
      </c>
      <c r="F5" s="30" t="s">
        <v>281</v>
      </c>
      <c r="I5" s="30" t="s">
        <v>3</v>
      </c>
      <c r="J5" s="5" t="s">
        <v>321</v>
      </c>
      <c r="K5" s="5" t="s">
        <v>322</v>
      </c>
      <c r="L5" s="5" t="s">
        <v>323</v>
      </c>
      <c r="N5" t="s">
        <v>368</v>
      </c>
      <c r="P5" s="30" t="s">
        <v>362</v>
      </c>
      <c r="Q5" s="32"/>
      <c r="U5" s="30" t="s">
        <v>338</v>
      </c>
      <c r="AI5" s="109" t="s">
        <v>421</v>
      </c>
      <c r="AJ5" s="109"/>
      <c r="AK5" s="109"/>
      <c r="AL5" s="109"/>
      <c r="AM5"/>
      <c r="AN5"/>
    </row>
    <row r="6" spans="1:40" ht="15.75" x14ac:dyDescent="0.25">
      <c r="A6" s="1" t="s">
        <v>296</v>
      </c>
      <c r="B6" s="1" t="s">
        <v>25</v>
      </c>
      <c r="C6" s="1" t="s">
        <v>297</v>
      </c>
      <c r="D6" s="1" t="s">
        <v>305</v>
      </c>
      <c r="F6" s="33" t="s">
        <v>2</v>
      </c>
      <c r="G6" s="33" t="s">
        <v>25</v>
      </c>
      <c r="I6">
        <v>250</v>
      </c>
      <c r="J6" s="34">
        <f>J$3/($I6*1000)</f>
        <v>2.02</v>
      </c>
      <c r="K6" s="34">
        <f t="shared" ref="K6:L21" si="0">K$3/($I6*1000)</f>
        <v>1.988</v>
      </c>
      <c r="L6" s="34">
        <f t="shared" si="0"/>
        <v>0.86799999999999999</v>
      </c>
      <c r="N6" t="s">
        <v>319</v>
      </c>
      <c r="P6" t="s">
        <v>363</v>
      </c>
      <c r="U6" s="33" t="s">
        <v>340</v>
      </c>
      <c r="V6" s="33" t="s">
        <v>339</v>
      </c>
      <c r="AI6" s="108" t="s">
        <v>422</v>
      </c>
      <c r="AJ6" s="108"/>
      <c r="AK6" s="108" t="s">
        <v>423</v>
      </c>
      <c r="AL6" s="108"/>
      <c r="AM6" s="108" t="s">
        <v>426</v>
      </c>
      <c r="AN6" s="108"/>
    </row>
    <row r="7" spans="1:40" x14ac:dyDescent="0.25">
      <c r="A7" t="s">
        <v>9</v>
      </c>
      <c r="B7" t="s">
        <v>289</v>
      </c>
      <c r="C7" s="35" t="s">
        <v>298</v>
      </c>
      <c r="D7" s="35" t="s">
        <v>306</v>
      </c>
      <c r="F7" s="112">
        <v>10050001</v>
      </c>
      <c r="G7" s="113" t="s">
        <v>439</v>
      </c>
      <c r="I7">
        <f>I6+10</f>
        <v>260</v>
      </c>
      <c r="J7" s="34">
        <f t="shared" ref="J7:L70" si="1">J$3/($I7*1000)</f>
        <v>1.9423076923076923</v>
      </c>
      <c r="K7" s="34">
        <f t="shared" si="0"/>
        <v>1.9115384615384616</v>
      </c>
      <c r="L7" s="34">
        <f t="shared" si="0"/>
        <v>0.83461538461538465</v>
      </c>
      <c r="N7" t="s">
        <v>369</v>
      </c>
      <c r="P7" t="s">
        <v>364</v>
      </c>
      <c r="U7" t="s">
        <v>376</v>
      </c>
      <c r="V7">
        <v>5331</v>
      </c>
      <c r="AI7" t="s">
        <v>424</v>
      </c>
      <c r="AJ7" t="s">
        <v>425</v>
      </c>
      <c r="AK7" t="s">
        <v>424</v>
      </c>
      <c r="AL7" t="s">
        <v>425</v>
      </c>
      <c r="AM7" t="s">
        <v>424</v>
      </c>
      <c r="AN7" t="s">
        <v>425</v>
      </c>
    </row>
    <row r="8" spans="1:40" x14ac:dyDescent="0.25">
      <c r="A8" t="s">
        <v>10</v>
      </c>
      <c r="B8" t="s">
        <v>288</v>
      </c>
      <c r="C8" s="35" t="s">
        <v>298</v>
      </c>
      <c r="D8" s="35" t="s">
        <v>306</v>
      </c>
      <c r="F8" s="112">
        <v>10050002</v>
      </c>
      <c r="G8" s="113" t="s">
        <v>26</v>
      </c>
      <c r="I8">
        <f t="shared" ref="I8:I71" si="2">I7+10</f>
        <v>270</v>
      </c>
      <c r="J8" s="34">
        <f t="shared" si="1"/>
        <v>1.8703703703703705</v>
      </c>
      <c r="K8" s="34">
        <f t="shared" si="0"/>
        <v>1.8407407407407408</v>
      </c>
      <c r="L8" s="34">
        <f t="shared" si="0"/>
        <v>0.8037037037037037</v>
      </c>
      <c r="U8" t="s">
        <v>377</v>
      </c>
      <c r="V8">
        <v>6585</v>
      </c>
      <c r="AH8" s="37">
        <v>2023</v>
      </c>
      <c r="AI8" s="16"/>
      <c r="AJ8" s="11">
        <v>0.94930000000000003</v>
      </c>
      <c r="AK8" s="16"/>
      <c r="AL8" s="11">
        <v>0.93189999999999995</v>
      </c>
      <c r="AM8" s="16"/>
      <c r="AN8" s="11">
        <v>0.93479999999999996</v>
      </c>
    </row>
    <row r="9" spans="1:40" ht="18.75" x14ac:dyDescent="0.3">
      <c r="A9" t="s">
        <v>7</v>
      </c>
      <c r="B9" t="s">
        <v>291</v>
      </c>
      <c r="C9" s="35" t="s">
        <v>298</v>
      </c>
      <c r="D9" s="35" t="s">
        <v>306</v>
      </c>
      <c r="F9" s="112">
        <v>12000501</v>
      </c>
      <c r="G9" s="113" t="s">
        <v>27</v>
      </c>
      <c r="I9">
        <f t="shared" si="2"/>
        <v>280</v>
      </c>
      <c r="J9" s="34">
        <f t="shared" si="1"/>
        <v>1.8035714285714286</v>
      </c>
      <c r="K9" s="34">
        <f t="shared" si="0"/>
        <v>1.7749999999999999</v>
      </c>
      <c r="L9" s="34">
        <f t="shared" si="0"/>
        <v>0.77500000000000002</v>
      </c>
      <c r="N9" s="100" t="s">
        <v>420</v>
      </c>
      <c r="U9" t="s">
        <v>378</v>
      </c>
      <c r="V9">
        <v>6800</v>
      </c>
      <c r="AH9" s="37">
        <v>2024</v>
      </c>
      <c r="AI9" s="17">
        <v>1</v>
      </c>
      <c r="AJ9" s="11">
        <f>AI9</f>
        <v>1</v>
      </c>
      <c r="AK9" s="17">
        <v>1</v>
      </c>
      <c r="AL9" s="11">
        <f>AK9</f>
        <v>1</v>
      </c>
      <c r="AM9" s="17">
        <v>1</v>
      </c>
      <c r="AN9" s="11">
        <f>AM9</f>
        <v>1</v>
      </c>
    </row>
    <row r="10" spans="1:40" x14ac:dyDescent="0.25">
      <c r="A10" t="s">
        <v>8</v>
      </c>
      <c r="B10" t="s">
        <v>290</v>
      </c>
      <c r="C10" s="35" t="s">
        <v>298</v>
      </c>
      <c r="D10" s="35" t="s">
        <v>306</v>
      </c>
      <c r="F10" s="112">
        <v>12000502</v>
      </c>
      <c r="G10" s="113" t="s">
        <v>28</v>
      </c>
      <c r="I10">
        <f t="shared" si="2"/>
        <v>290</v>
      </c>
      <c r="J10" s="34">
        <f t="shared" si="1"/>
        <v>1.7413793103448276</v>
      </c>
      <c r="K10" s="34">
        <f t="shared" si="0"/>
        <v>1.7137931034482758</v>
      </c>
      <c r="L10" s="34">
        <f t="shared" si="0"/>
        <v>0.74827586206896557</v>
      </c>
      <c r="N10" s="27">
        <v>3.7999999999999999E-2</v>
      </c>
      <c r="U10" t="s">
        <v>379</v>
      </c>
      <c r="V10">
        <v>6890</v>
      </c>
      <c r="AH10" s="37">
        <v>2025</v>
      </c>
      <c r="AI10" s="17">
        <v>2.5999999999999999E-2</v>
      </c>
      <c r="AJ10" s="11">
        <f t="shared" ref="AJ10:AJ30" si="3">AJ9*(1+AI10)</f>
        <v>1.026</v>
      </c>
      <c r="AK10" s="17">
        <f>AI10</f>
        <v>2.5999999999999999E-2</v>
      </c>
      <c r="AL10" s="11">
        <f t="shared" ref="AL10:AL30" si="4">AL9*(1+AK10)</f>
        <v>1.026</v>
      </c>
      <c r="AM10" s="17">
        <f>AK10</f>
        <v>2.5999999999999999E-2</v>
      </c>
      <c r="AN10" s="11">
        <f t="shared" ref="AN10:AN30" si="5">AN9*(1+AM10)</f>
        <v>1.026</v>
      </c>
    </row>
    <row r="11" spans="1:40" ht="18.75" x14ac:dyDescent="0.3">
      <c r="A11" t="s">
        <v>6</v>
      </c>
      <c r="B11" t="s">
        <v>292</v>
      </c>
      <c r="C11" s="35" t="s">
        <v>298</v>
      </c>
      <c r="D11" s="35" t="s">
        <v>306</v>
      </c>
      <c r="F11" s="112">
        <v>12050501</v>
      </c>
      <c r="G11" s="113" t="s">
        <v>440</v>
      </c>
      <c r="I11">
        <f t="shared" si="2"/>
        <v>300</v>
      </c>
      <c r="J11" s="34">
        <f t="shared" si="1"/>
        <v>1.6833333333333333</v>
      </c>
      <c r="K11" s="34">
        <f t="shared" si="0"/>
        <v>1.6566666666666667</v>
      </c>
      <c r="L11" s="34">
        <f t="shared" si="0"/>
        <v>0.72333333333333338</v>
      </c>
      <c r="P11" s="30" t="s">
        <v>335</v>
      </c>
      <c r="U11" t="s">
        <v>380</v>
      </c>
      <c r="V11">
        <v>7100</v>
      </c>
      <c r="AH11" s="37">
        <v>2026</v>
      </c>
      <c r="AI11" s="17">
        <v>2.3E-2</v>
      </c>
      <c r="AJ11" s="11">
        <f t="shared" si="3"/>
        <v>1.049598</v>
      </c>
      <c r="AK11" s="17">
        <f t="shared" ref="AK11:AK30" si="6">AI11</f>
        <v>2.3E-2</v>
      </c>
      <c r="AL11" s="11">
        <f t="shared" si="4"/>
        <v>1.049598</v>
      </c>
      <c r="AM11" s="17">
        <f t="shared" ref="AM11:AM30" si="7">AK11</f>
        <v>2.3E-2</v>
      </c>
      <c r="AN11" s="11">
        <f t="shared" si="5"/>
        <v>1.049598</v>
      </c>
    </row>
    <row r="12" spans="1:40" x14ac:dyDescent="0.25">
      <c r="A12" t="s">
        <v>286</v>
      </c>
      <c r="B12" t="s">
        <v>293</v>
      </c>
      <c r="C12" s="35" t="s">
        <v>298</v>
      </c>
      <c r="D12" s="35" t="s">
        <v>307</v>
      </c>
      <c r="F12" s="112">
        <v>13000501</v>
      </c>
      <c r="G12" s="113" t="s">
        <v>441</v>
      </c>
      <c r="I12">
        <f t="shared" si="2"/>
        <v>310</v>
      </c>
      <c r="J12" s="34">
        <f t="shared" si="1"/>
        <v>1.6290322580645162</v>
      </c>
      <c r="K12" s="34">
        <f t="shared" si="0"/>
        <v>1.6032258064516129</v>
      </c>
      <c r="L12" s="34">
        <f t="shared" si="0"/>
        <v>0.7</v>
      </c>
      <c r="N12" s="36">
        <v>1</v>
      </c>
      <c r="P12" s="37">
        <v>2023</v>
      </c>
      <c r="Q12" s="38">
        <v>1244000</v>
      </c>
      <c r="U12" t="s">
        <v>381</v>
      </c>
      <c r="V12">
        <v>9192</v>
      </c>
      <c r="AH12" s="37">
        <v>2027</v>
      </c>
      <c r="AI12" s="17">
        <f>AI11</f>
        <v>2.3E-2</v>
      </c>
      <c r="AJ12" s="11">
        <f t="shared" si="3"/>
        <v>1.0737387539999999</v>
      </c>
      <c r="AK12" s="17">
        <f t="shared" si="6"/>
        <v>2.3E-2</v>
      </c>
      <c r="AL12" s="11">
        <f t="shared" si="4"/>
        <v>1.0737387539999999</v>
      </c>
      <c r="AM12" s="17">
        <f t="shared" si="7"/>
        <v>2.3E-2</v>
      </c>
      <c r="AN12" s="11">
        <f t="shared" si="5"/>
        <v>1.0737387539999999</v>
      </c>
    </row>
    <row r="13" spans="1:40" x14ac:dyDescent="0.25">
      <c r="A13" t="s">
        <v>5</v>
      </c>
      <c r="B13" t="s">
        <v>294</v>
      </c>
      <c r="C13" s="35" t="s">
        <v>298</v>
      </c>
      <c r="D13" s="35" t="s">
        <v>306</v>
      </c>
      <c r="F13" s="112">
        <v>13050001</v>
      </c>
      <c r="G13" s="113" t="s">
        <v>442</v>
      </c>
      <c r="I13">
        <f t="shared" si="2"/>
        <v>320</v>
      </c>
      <c r="J13" s="34">
        <f t="shared" si="1"/>
        <v>1.578125</v>
      </c>
      <c r="K13" s="34">
        <f t="shared" si="0"/>
        <v>1.5531250000000001</v>
      </c>
      <c r="L13" s="34">
        <f t="shared" si="0"/>
        <v>0.67812499999999998</v>
      </c>
      <c r="N13" s="36">
        <f>1.051</f>
        <v>1.0509999999999999</v>
      </c>
      <c r="P13" s="37">
        <v>2024</v>
      </c>
      <c r="Q13" s="38">
        <v>1312000</v>
      </c>
      <c r="R13" t="s">
        <v>336</v>
      </c>
      <c r="S13" s="39">
        <v>0.04</v>
      </c>
      <c r="U13" t="s">
        <v>382</v>
      </c>
      <c r="V13">
        <v>9532</v>
      </c>
      <c r="AH13" s="37">
        <v>2028</v>
      </c>
      <c r="AI13" s="17">
        <f t="shared" ref="AI13:AI30" si="8">AI12</f>
        <v>2.3E-2</v>
      </c>
      <c r="AJ13" s="11">
        <f t="shared" si="3"/>
        <v>1.0984347453419998</v>
      </c>
      <c r="AK13" s="17">
        <f t="shared" si="6"/>
        <v>2.3E-2</v>
      </c>
      <c r="AL13" s="11">
        <f t="shared" si="4"/>
        <v>1.0984347453419998</v>
      </c>
      <c r="AM13" s="17">
        <f t="shared" si="7"/>
        <v>2.3E-2</v>
      </c>
      <c r="AN13" s="11">
        <f t="shared" si="5"/>
        <v>1.0984347453419998</v>
      </c>
    </row>
    <row r="14" spans="1:40" x14ac:dyDescent="0.25">
      <c r="A14" t="s">
        <v>287</v>
      </c>
      <c r="B14" t="s">
        <v>295</v>
      </c>
      <c r="C14" s="35" t="s">
        <v>298</v>
      </c>
      <c r="D14" s="35" t="s">
        <v>307</v>
      </c>
      <c r="F14" s="112">
        <v>13051001</v>
      </c>
      <c r="G14" s="113" t="s">
        <v>29</v>
      </c>
      <c r="I14">
        <f t="shared" si="2"/>
        <v>330</v>
      </c>
      <c r="J14" s="34">
        <f t="shared" si="1"/>
        <v>1.5303030303030303</v>
      </c>
      <c r="K14" s="34">
        <f t="shared" si="0"/>
        <v>1.5060606060606061</v>
      </c>
      <c r="L14" s="34">
        <f t="shared" si="0"/>
        <v>0.65757575757575759</v>
      </c>
      <c r="N14" s="36">
        <f>N13*(1+$N$10)</f>
        <v>1.090938</v>
      </c>
      <c r="P14" s="37">
        <v>2025</v>
      </c>
      <c r="Q14" s="38">
        <v>1363000</v>
      </c>
      <c r="R14" t="s">
        <v>337</v>
      </c>
      <c r="S14" s="39">
        <v>0.03</v>
      </c>
      <c r="AH14" s="37">
        <v>2029</v>
      </c>
      <c r="AI14" s="17">
        <f t="shared" si="8"/>
        <v>2.3E-2</v>
      </c>
      <c r="AJ14" s="11">
        <f t="shared" si="3"/>
        <v>1.1236987444848656</v>
      </c>
      <c r="AK14" s="17">
        <f t="shared" si="6"/>
        <v>2.3E-2</v>
      </c>
      <c r="AL14" s="11">
        <f t="shared" si="4"/>
        <v>1.1236987444848656</v>
      </c>
      <c r="AM14" s="17">
        <f t="shared" si="7"/>
        <v>2.3E-2</v>
      </c>
      <c r="AN14" s="11">
        <f t="shared" si="5"/>
        <v>1.1236987444848656</v>
      </c>
    </row>
    <row r="15" spans="1:40" x14ac:dyDescent="0.25">
      <c r="F15" s="112">
        <v>13051501</v>
      </c>
      <c r="G15" s="113" t="s">
        <v>443</v>
      </c>
      <c r="I15">
        <f t="shared" si="2"/>
        <v>340</v>
      </c>
      <c r="J15" s="34">
        <f t="shared" si="1"/>
        <v>1.4852941176470589</v>
      </c>
      <c r="K15" s="34">
        <f t="shared" si="0"/>
        <v>1.4617647058823529</v>
      </c>
      <c r="L15" s="34">
        <f t="shared" si="0"/>
        <v>0.63823529411764701</v>
      </c>
      <c r="N15" s="36">
        <f t="shared" ref="N15:N34" si="9">N14*(1+$N$10)</f>
        <v>1.132393644</v>
      </c>
      <c r="P15" s="37">
        <v>2026</v>
      </c>
      <c r="Q15" s="38">
        <v>1414000</v>
      </c>
      <c r="AH15" s="37">
        <v>2030</v>
      </c>
      <c r="AI15" s="17">
        <f t="shared" si="8"/>
        <v>2.3E-2</v>
      </c>
      <c r="AJ15" s="11">
        <f t="shared" si="3"/>
        <v>1.1495438156080173</v>
      </c>
      <c r="AK15" s="17">
        <f t="shared" si="6"/>
        <v>2.3E-2</v>
      </c>
      <c r="AL15" s="11">
        <f t="shared" si="4"/>
        <v>1.1495438156080173</v>
      </c>
      <c r="AM15" s="17">
        <f t="shared" si="7"/>
        <v>2.3E-2</v>
      </c>
      <c r="AN15" s="11">
        <f t="shared" si="5"/>
        <v>1.1495438156080173</v>
      </c>
    </row>
    <row r="16" spans="1:40" x14ac:dyDescent="0.25">
      <c r="F16" s="112">
        <v>13052001</v>
      </c>
      <c r="G16" s="113" t="s">
        <v>444</v>
      </c>
      <c r="I16">
        <f t="shared" si="2"/>
        <v>350</v>
      </c>
      <c r="J16" s="34">
        <f t="shared" si="1"/>
        <v>1.4428571428571428</v>
      </c>
      <c r="K16" s="34">
        <f t="shared" si="0"/>
        <v>1.42</v>
      </c>
      <c r="L16" s="34">
        <f t="shared" si="0"/>
        <v>0.62</v>
      </c>
      <c r="N16" s="36">
        <f t="shared" si="9"/>
        <v>1.1754246024720001</v>
      </c>
      <c r="P16" s="37">
        <v>2027</v>
      </c>
      <c r="Q16" s="38">
        <v>1464000</v>
      </c>
      <c r="AH16" s="37">
        <v>2031</v>
      </c>
      <c r="AI16" s="17">
        <f t="shared" si="8"/>
        <v>2.3E-2</v>
      </c>
      <c r="AJ16" s="11">
        <f t="shared" si="3"/>
        <v>1.1759833233670016</v>
      </c>
      <c r="AK16" s="17">
        <f t="shared" si="6"/>
        <v>2.3E-2</v>
      </c>
      <c r="AL16" s="11">
        <f t="shared" si="4"/>
        <v>1.1759833233670016</v>
      </c>
      <c r="AM16" s="17">
        <f t="shared" si="7"/>
        <v>2.3E-2</v>
      </c>
      <c r="AN16" s="11">
        <f t="shared" si="5"/>
        <v>1.1759833233670016</v>
      </c>
    </row>
    <row r="17" spans="6:40" x14ac:dyDescent="0.25">
      <c r="F17" s="112">
        <v>13052501</v>
      </c>
      <c r="G17" s="113" t="s">
        <v>445</v>
      </c>
      <c r="I17">
        <f t="shared" si="2"/>
        <v>360</v>
      </c>
      <c r="J17" s="34">
        <f t="shared" si="1"/>
        <v>1.4027777777777777</v>
      </c>
      <c r="K17" s="34">
        <f t="shared" si="0"/>
        <v>1.3805555555555555</v>
      </c>
      <c r="L17" s="34">
        <f t="shared" si="0"/>
        <v>0.60277777777777775</v>
      </c>
      <c r="N17" s="36">
        <f t="shared" si="9"/>
        <v>1.2200907373659362</v>
      </c>
      <c r="P17" s="37">
        <v>2028</v>
      </c>
      <c r="Q17" s="38">
        <v>1518000</v>
      </c>
      <c r="U17" t="s">
        <v>375</v>
      </c>
      <c r="V17">
        <v>9516</v>
      </c>
      <c r="AH17" s="37">
        <v>2032</v>
      </c>
      <c r="AI17" s="17">
        <f t="shared" si="8"/>
        <v>2.3E-2</v>
      </c>
      <c r="AJ17" s="11">
        <f t="shared" si="3"/>
        <v>1.2030309398044425</v>
      </c>
      <c r="AK17" s="17">
        <f t="shared" si="6"/>
        <v>2.3E-2</v>
      </c>
      <c r="AL17" s="11">
        <f t="shared" si="4"/>
        <v>1.2030309398044425</v>
      </c>
      <c r="AM17" s="17">
        <f t="shared" si="7"/>
        <v>2.3E-2</v>
      </c>
      <c r="AN17" s="11">
        <f t="shared" si="5"/>
        <v>1.2030309398044425</v>
      </c>
    </row>
    <row r="18" spans="6:40" x14ac:dyDescent="0.25">
      <c r="F18" s="112">
        <v>13053001</v>
      </c>
      <c r="G18" s="113" t="s">
        <v>446</v>
      </c>
      <c r="I18">
        <f t="shared" si="2"/>
        <v>370</v>
      </c>
      <c r="J18" s="34">
        <f t="shared" si="1"/>
        <v>1.3648648648648649</v>
      </c>
      <c r="K18" s="34">
        <f t="shared" si="0"/>
        <v>1.3432432432432433</v>
      </c>
      <c r="L18" s="34">
        <f t="shared" si="0"/>
        <v>0.58648648648648649</v>
      </c>
      <c r="N18" s="36">
        <f t="shared" si="9"/>
        <v>1.2664541853858418</v>
      </c>
      <c r="P18" s="37">
        <v>2029</v>
      </c>
      <c r="Q18" s="38">
        <v>1568000</v>
      </c>
      <c r="AH18" s="37">
        <v>2033</v>
      </c>
      <c r="AI18" s="17">
        <f t="shared" si="8"/>
        <v>2.3E-2</v>
      </c>
      <c r="AJ18" s="11">
        <f t="shared" si="3"/>
        <v>1.2307006514199446</v>
      </c>
      <c r="AK18" s="17">
        <f t="shared" si="6"/>
        <v>2.3E-2</v>
      </c>
      <c r="AL18" s="11">
        <f t="shared" si="4"/>
        <v>1.2307006514199446</v>
      </c>
      <c r="AM18" s="17">
        <f t="shared" si="7"/>
        <v>2.3E-2</v>
      </c>
      <c r="AN18" s="11">
        <f t="shared" si="5"/>
        <v>1.2307006514199446</v>
      </c>
    </row>
    <row r="19" spans="6:40" x14ac:dyDescent="0.25">
      <c r="F19" s="112">
        <v>13053501</v>
      </c>
      <c r="G19" s="113" t="s">
        <v>447</v>
      </c>
      <c r="I19">
        <f t="shared" si="2"/>
        <v>380</v>
      </c>
      <c r="J19" s="34">
        <f t="shared" si="1"/>
        <v>1.3289473684210527</v>
      </c>
      <c r="K19" s="34">
        <f t="shared" si="0"/>
        <v>1.3078947368421052</v>
      </c>
      <c r="L19" s="34">
        <f t="shared" si="0"/>
        <v>0.57105263157894737</v>
      </c>
      <c r="N19" s="36">
        <f t="shared" si="9"/>
        <v>1.3145794444305039</v>
      </c>
      <c r="P19" s="37">
        <v>2030</v>
      </c>
      <c r="Q19" s="38">
        <v>1623000</v>
      </c>
      <c r="AH19" s="37">
        <v>2034</v>
      </c>
      <c r="AI19" s="17">
        <f t="shared" si="8"/>
        <v>2.3E-2</v>
      </c>
      <c r="AJ19" s="11">
        <f t="shared" si="3"/>
        <v>1.2590067664026032</v>
      </c>
      <c r="AK19" s="17">
        <f t="shared" si="6"/>
        <v>2.3E-2</v>
      </c>
      <c r="AL19" s="11">
        <f t="shared" si="4"/>
        <v>1.2590067664026032</v>
      </c>
      <c r="AM19" s="17">
        <f t="shared" si="7"/>
        <v>2.3E-2</v>
      </c>
      <c r="AN19" s="11">
        <f t="shared" si="5"/>
        <v>1.2590067664026032</v>
      </c>
    </row>
    <row r="20" spans="6:40" x14ac:dyDescent="0.25">
      <c r="F20" s="112">
        <v>13059901</v>
      </c>
      <c r="G20" s="113" t="s">
        <v>30</v>
      </c>
      <c r="I20">
        <f t="shared" si="2"/>
        <v>390</v>
      </c>
      <c r="J20" s="34">
        <f t="shared" si="1"/>
        <v>1.2948717948717949</v>
      </c>
      <c r="K20" s="34">
        <f t="shared" si="0"/>
        <v>1.2743589743589743</v>
      </c>
      <c r="L20" s="34">
        <f t="shared" si="0"/>
        <v>0.55641025641025643</v>
      </c>
      <c r="N20" s="36">
        <f t="shared" si="9"/>
        <v>1.364533463318863</v>
      </c>
      <c r="P20" s="37">
        <v>2031</v>
      </c>
      <c r="Q20" s="38">
        <f>ROUND(Q19*1.035,-3)</f>
        <v>1680000</v>
      </c>
      <c r="AH20" s="37">
        <v>2035</v>
      </c>
      <c r="AI20" s="17">
        <f t="shared" si="8"/>
        <v>2.3E-2</v>
      </c>
      <c r="AJ20" s="11">
        <f t="shared" si="3"/>
        <v>1.2879639220298631</v>
      </c>
      <c r="AK20" s="17">
        <f t="shared" si="6"/>
        <v>2.3E-2</v>
      </c>
      <c r="AL20" s="11">
        <f t="shared" si="4"/>
        <v>1.2879639220298631</v>
      </c>
      <c r="AM20" s="17">
        <f t="shared" si="7"/>
        <v>2.3E-2</v>
      </c>
      <c r="AN20" s="11">
        <f t="shared" si="5"/>
        <v>1.2879639220298631</v>
      </c>
    </row>
    <row r="21" spans="6:40" x14ac:dyDescent="0.25">
      <c r="F21" s="112">
        <v>14000501</v>
      </c>
      <c r="G21" s="113" t="s">
        <v>448</v>
      </c>
      <c r="I21">
        <f t="shared" si="2"/>
        <v>400</v>
      </c>
      <c r="J21" s="34">
        <f t="shared" si="1"/>
        <v>1.2625</v>
      </c>
      <c r="K21" s="34">
        <f t="shared" si="0"/>
        <v>1.2424999999999999</v>
      </c>
      <c r="L21" s="34">
        <f t="shared" si="0"/>
        <v>0.54249999999999998</v>
      </c>
      <c r="N21" s="36">
        <f t="shared" si="9"/>
        <v>1.41638573492498</v>
      </c>
      <c r="P21" s="37">
        <v>2032</v>
      </c>
      <c r="Q21" s="38">
        <f t="shared" ref="Q21:Q34" si="10">ROUND(Q20*1.035,-3)</f>
        <v>1739000</v>
      </c>
      <c r="AH21" s="37">
        <v>2036</v>
      </c>
      <c r="AI21" s="17">
        <f t="shared" si="8"/>
        <v>2.3E-2</v>
      </c>
      <c r="AJ21" s="11">
        <f t="shared" si="3"/>
        <v>1.3175870922365498</v>
      </c>
      <c r="AK21" s="17">
        <f t="shared" si="6"/>
        <v>2.3E-2</v>
      </c>
      <c r="AL21" s="11">
        <f t="shared" si="4"/>
        <v>1.3175870922365498</v>
      </c>
      <c r="AM21" s="17">
        <f t="shared" si="7"/>
        <v>2.3E-2</v>
      </c>
      <c r="AN21" s="11">
        <f t="shared" si="5"/>
        <v>1.3175870922365498</v>
      </c>
    </row>
    <row r="22" spans="6:40" x14ac:dyDescent="0.25">
      <c r="F22" s="112">
        <v>16000501</v>
      </c>
      <c r="G22" s="113" t="s">
        <v>449</v>
      </c>
      <c r="I22">
        <f t="shared" si="2"/>
        <v>410</v>
      </c>
      <c r="J22" s="34">
        <f t="shared" si="1"/>
        <v>1.2317073170731707</v>
      </c>
      <c r="K22" s="34">
        <f t="shared" si="1"/>
        <v>1.2121951219512195</v>
      </c>
      <c r="L22" s="34">
        <f t="shared" si="1"/>
        <v>0.52926829268292686</v>
      </c>
      <c r="N22" s="36">
        <f t="shared" si="9"/>
        <v>1.4702083928521292</v>
      </c>
      <c r="P22" s="37">
        <v>2033</v>
      </c>
      <c r="Q22" s="38">
        <f t="shared" si="10"/>
        <v>1800000</v>
      </c>
      <c r="AH22" s="37">
        <v>2037</v>
      </c>
      <c r="AI22" s="17">
        <f t="shared" si="8"/>
        <v>2.3E-2</v>
      </c>
      <c r="AJ22" s="11">
        <f t="shared" si="3"/>
        <v>1.3478915953579904</v>
      </c>
      <c r="AK22" s="17">
        <f t="shared" si="6"/>
        <v>2.3E-2</v>
      </c>
      <c r="AL22" s="11">
        <f t="shared" si="4"/>
        <v>1.3478915953579904</v>
      </c>
      <c r="AM22" s="17">
        <f t="shared" si="7"/>
        <v>2.3E-2</v>
      </c>
      <c r="AN22" s="11">
        <f t="shared" si="5"/>
        <v>1.3478915953579904</v>
      </c>
    </row>
    <row r="23" spans="6:40" x14ac:dyDescent="0.25">
      <c r="F23" s="112">
        <v>16001001</v>
      </c>
      <c r="G23" s="113" t="s">
        <v>450</v>
      </c>
      <c r="I23">
        <f t="shared" si="2"/>
        <v>420</v>
      </c>
      <c r="J23" s="34">
        <f t="shared" si="1"/>
        <v>1.2023809523809523</v>
      </c>
      <c r="K23" s="34">
        <f t="shared" si="1"/>
        <v>1.1833333333333333</v>
      </c>
      <c r="L23" s="34">
        <f t="shared" si="1"/>
        <v>0.51666666666666672</v>
      </c>
      <c r="N23" s="36">
        <f t="shared" si="9"/>
        <v>1.5260763117805103</v>
      </c>
      <c r="P23" s="37">
        <v>2034</v>
      </c>
      <c r="Q23" s="38">
        <f t="shared" si="10"/>
        <v>1863000</v>
      </c>
      <c r="AH23" s="37">
        <v>2038</v>
      </c>
      <c r="AI23" s="17">
        <f t="shared" si="8"/>
        <v>2.3E-2</v>
      </c>
      <c r="AJ23" s="11">
        <f t="shared" si="3"/>
        <v>1.3788931020512241</v>
      </c>
      <c r="AK23" s="17">
        <f t="shared" si="6"/>
        <v>2.3E-2</v>
      </c>
      <c r="AL23" s="11">
        <f t="shared" si="4"/>
        <v>1.3788931020512241</v>
      </c>
      <c r="AM23" s="17">
        <f t="shared" si="7"/>
        <v>2.3E-2</v>
      </c>
      <c r="AN23" s="11">
        <f t="shared" si="5"/>
        <v>1.3788931020512241</v>
      </c>
    </row>
    <row r="24" spans="6:40" x14ac:dyDescent="0.25">
      <c r="F24" s="112">
        <v>16001501</v>
      </c>
      <c r="G24" s="113" t="s">
        <v>451</v>
      </c>
      <c r="I24">
        <f t="shared" si="2"/>
        <v>430</v>
      </c>
      <c r="J24" s="34">
        <f t="shared" si="1"/>
        <v>1.1744186046511629</v>
      </c>
      <c r="K24" s="34">
        <f t="shared" si="1"/>
        <v>1.155813953488372</v>
      </c>
      <c r="L24" s="34">
        <f t="shared" si="1"/>
        <v>0.50465116279069766</v>
      </c>
      <c r="N24" s="36">
        <f t="shared" si="9"/>
        <v>1.5840672116281698</v>
      </c>
      <c r="P24" s="37">
        <v>2035</v>
      </c>
      <c r="Q24" s="38">
        <f t="shared" si="10"/>
        <v>1928000</v>
      </c>
      <c r="AH24" s="37">
        <v>2039</v>
      </c>
      <c r="AI24" s="17">
        <f t="shared" si="8"/>
        <v>2.3E-2</v>
      </c>
      <c r="AJ24" s="11">
        <f t="shared" si="3"/>
        <v>1.4106076433984021</v>
      </c>
      <c r="AK24" s="17">
        <f t="shared" si="6"/>
        <v>2.3E-2</v>
      </c>
      <c r="AL24" s="11">
        <f t="shared" si="4"/>
        <v>1.4106076433984021</v>
      </c>
      <c r="AM24" s="17">
        <f t="shared" si="7"/>
        <v>2.3E-2</v>
      </c>
      <c r="AN24" s="11">
        <f t="shared" si="5"/>
        <v>1.4106076433984021</v>
      </c>
    </row>
    <row r="25" spans="6:40" x14ac:dyDescent="0.25">
      <c r="F25" s="112">
        <v>16050501</v>
      </c>
      <c r="G25" s="113" t="s">
        <v>452</v>
      </c>
      <c r="I25">
        <f t="shared" si="2"/>
        <v>440</v>
      </c>
      <c r="J25" s="34">
        <f t="shared" si="1"/>
        <v>1.1477272727272727</v>
      </c>
      <c r="K25" s="34">
        <f t="shared" si="1"/>
        <v>1.1295454545454546</v>
      </c>
      <c r="L25" s="34">
        <f t="shared" si="1"/>
        <v>0.49318181818181817</v>
      </c>
      <c r="N25" s="36">
        <f t="shared" si="9"/>
        <v>1.6442617656700402</v>
      </c>
      <c r="P25" s="37">
        <v>2036</v>
      </c>
      <c r="Q25" s="38">
        <f t="shared" si="10"/>
        <v>1995000</v>
      </c>
      <c r="AH25" s="37">
        <v>2040</v>
      </c>
      <c r="AI25" s="17">
        <f t="shared" si="8"/>
        <v>2.3E-2</v>
      </c>
      <c r="AJ25" s="11">
        <f t="shared" si="3"/>
        <v>1.4430516191965652</v>
      </c>
      <c r="AK25" s="17">
        <f t="shared" si="6"/>
        <v>2.3E-2</v>
      </c>
      <c r="AL25" s="11">
        <f t="shared" si="4"/>
        <v>1.4430516191965652</v>
      </c>
      <c r="AM25" s="17">
        <f t="shared" si="7"/>
        <v>2.3E-2</v>
      </c>
      <c r="AN25" s="11">
        <f t="shared" si="5"/>
        <v>1.4430516191965652</v>
      </c>
    </row>
    <row r="26" spans="6:40" x14ac:dyDescent="0.25">
      <c r="F26" s="112">
        <v>16100501</v>
      </c>
      <c r="G26" s="113" t="s">
        <v>453</v>
      </c>
      <c r="I26">
        <f t="shared" si="2"/>
        <v>450</v>
      </c>
      <c r="J26" s="34">
        <f t="shared" si="1"/>
        <v>1.1222222222222222</v>
      </c>
      <c r="K26" s="34">
        <f t="shared" si="1"/>
        <v>1.1044444444444443</v>
      </c>
      <c r="L26" s="34">
        <f t="shared" si="1"/>
        <v>0.48222222222222222</v>
      </c>
      <c r="N26" s="36">
        <f t="shared" si="9"/>
        <v>1.7067437127655019</v>
      </c>
      <c r="P26" s="37">
        <v>2037</v>
      </c>
      <c r="Q26" s="38">
        <f t="shared" si="10"/>
        <v>2065000</v>
      </c>
      <c r="AH26" s="37">
        <v>2041</v>
      </c>
      <c r="AI26" s="17">
        <f t="shared" si="8"/>
        <v>2.3E-2</v>
      </c>
      <c r="AJ26" s="11">
        <f t="shared" si="3"/>
        <v>1.476241806438086</v>
      </c>
      <c r="AK26" s="17">
        <f t="shared" si="6"/>
        <v>2.3E-2</v>
      </c>
      <c r="AL26" s="11">
        <f t="shared" si="4"/>
        <v>1.476241806438086</v>
      </c>
      <c r="AM26" s="17">
        <f t="shared" si="7"/>
        <v>2.3E-2</v>
      </c>
      <c r="AN26" s="11">
        <f t="shared" si="5"/>
        <v>1.476241806438086</v>
      </c>
    </row>
    <row r="27" spans="6:40" x14ac:dyDescent="0.25">
      <c r="F27" s="112">
        <v>16200501</v>
      </c>
      <c r="G27" s="113" t="s">
        <v>454</v>
      </c>
      <c r="I27">
        <f t="shared" si="2"/>
        <v>460</v>
      </c>
      <c r="J27" s="34">
        <f t="shared" si="1"/>
        <v>1.0978260869565217</v>
      </c>
      <c r="K27" s="34">
        <f t="shared" si="1"/>
        <v>1.0804347826086957</v>
      </c>
      <c r="L27" s="34">
        <f t="shared" si="1"/>
        <v>0.47173913043478261</v>
      </c>
      <c r="N27" s="36">
        <f t="shared" si="9"/>
        <v>1.771599973850591</v>
      </c>
      <c r="P27" s="37">
        <v>2038</v>
      </c>
      <c r="Q27" s="38">
        <f t="shared" si="10"/>
        <v>2137000</v>
      </c>
      <c r="AH27" s="37">
        <v>2042</v>
      </c>
      <c r="AI27" s="17">
        <f t="shared" si="8"/>
        <v>2.3E-2</v>
      </c>
      <c r="AJ27" s="11">
        <f t="shared" si="3"/>
        <v>1.5101953679861619</v>
      </c>
      <c r="AK27" s="17">
        <f t="shared" si="6"/>
        <v>2.3E-2</v>
      </c>
      <c r="AL27" s="11">
        <f t="shared" si="4"/>
        <v>1.5101953679861619</v>
      </c>
      <c r="AM27" s="17">
        <f t="shared" si="7"/>
        <v>2.3E-2</v>
      </c>
      <c r="AN27" s="11">
        <f t="shared" si="5"/>
        <v>1.5101953679861619</v>
      </c>
    </row>
    <row r="28" spans="6:40" x14ac:dyDescent="0.25">
      <c r="F28" s="112">
        <v>16200502</v>
      </c>
      <c r="G28" s="113" t="s">
        <v>455</v>
      </c>
      <c r="I28">
        <f t="shared" si="2"/>
        <v>470</v>
      </c>
      <c r="J28" s="34">
        <f t="shared" si="1"/>
        <v>1.074468085106383</v>
      </c>
      <c r="K28" s="34">
        <f t="shared" si="1"/>
        <v>1.0574468085106383</v>
      </c>
      <c r="L28" s="34">
        <f t="shared" si="1"/>
        <v>0.46170212765957447</v>
      </c>
      <c r="N28" s="36">
        <f t="shared" si="9"/>
        <v>1.8389207728569135</v>
      </c>
      <c r="P28" s="37">
        <v>2039</v>
      </c>
      <c r="Q28" s="38">
        <f t="shared" si="10"/>
        <v>2212000</v>
      </c>
      <c r="AH28" s="37">
        <v>2043</v>
      </c>
      <c r="AI28" s="17">
        <f t="shared" si="8"/>
        <v>2.3E-2</v>
      </c>
      <c r="AJ28" s="11">
        <f t="shared" si="3"/>
        <v>1.5449298614498435</v>
      </c>
      <c r="AK28" s="17">
        <f t="shared" si="6"/>
        <v>2.3E-2</v>
      </c>
      <c r="AL28" s="11">
        <f t="shared" si="4"/>
        <v>1.5449298614498435</v>
      </c>
      <c r="AM28" s="17">
        <f t="shared" si="7"/>
        <v>2.3E-2</v>
      </c>
      <c r="AN28" s="11">
        <f t="shared" si="5"/>
        <v>1.5449298614498435</v>
      </c>
    </row>
    <row r="29" spans="6:40" x14ac:dyDescent="0.25">
      <c r="F29" s="112">
        <v>16201001</v>
      </c>
      <c r="G29" s="113" t="s">
        <v>456</v>
      </c>
      <c r="I29">
        <f t="shared" si="2"/>
        <v>480</v>
      </c>
      <c r="J29" s="34">
        <f t="shared" si="1"/>
        <v>1.0520833333333333</v>
      </c>
      <c r="K29" s="34">
        <f t="shared" si="1"/>
        <v>1.0354166666666667</v>
      </c>
      <c r="L29" s="34">
        <f t="shared" si="1"/>
        <v>0.45208333333333334</v>
      </c>
      <c r="N29" s="36">
        <f t="shared" si="9"/>
        <v>1.9087997622254762</v>
      </c>
      <c r="P29" s="37">
        <v>2040</v>
      </c>
      <c r="Q29" s="38">
        <f t="shared" si="10"/>
        <v>2289000</v>
      </c>
      <c r="AH29" s="37">
        <v>2044</v>
      </c>
      <c r="AI29" s="17">
        <f t="shared" si="8"/>
        <v>2.3E-2</v>
      </c>
      <c r="AJ29" s="11">
        <f t="shared" si="3"/>
        <v>1.5804632482631897</v>
      </c>
      <c r="AK29" s="17">
        <f t="shared" si="6"/>
        <v>2.3E-2</v>
      </c>
      <c r="AL29" s="11">
        <f t="shared" si="4"/>
        <v>1.5804632482631897</v>
      </c>
      <c r="AM29" s="17">
        <f t="shared" si="7"/>
        <v>2.3E-2</v>
      </c>
      <c r="AN29" s="11">
        <f t="shared" si="5"/>
        <v>1.5804632482631897</v>
      </c>
    </row>
    <row r="30" spans="6:40" x14ac:dyDescent="0.25">
      <c r="F30" s="112">
        <v>16201501</v>
      </c>
      <c r="G30" s="113" t="s">
        <v>457</v>
      </c>
      <c r="I30">
        <f t="shared" si="2"/>
        <v>490</v>
      </c>
      <c r="J30" s="34">
        <f t="shared" si="1"/>
        <v>1.0306122448979591</v>
      </c>
      <c r="K30" s="34">
        <f t="shared" si="1"/>
        <v>1.0142857142857142</v>
      </c>
      <c r="L30" s="34">
        <f t="shared" si="1"/>
        <v>0.44285714285714284</v>
      </c>
      <c r="N30" s="36">
        <f t="shared" si="9"/>
        <v>1.9813341531900444</v>
      </c>
      <c r="P30" s="37">
        <v>2041</v>
      </c>
      <c r="Q30" s="38">
        <f t="shared" si="10"/>
        <v>2369000</v>
      </c>
      <c r="AH30" s="37">
        <v>2045</v>
      </c>
      <c r="AI30" s="17">
        <f t="shared" si="8"/>
        <v>2.3E-2</v>
      </c>
      <c r="AJ30" s="11">
        <f t="shared" si="3"/>
        <v>1.6168139029732429</v>
      </c>
      <c r="AK30" s="17">
        <f t="shared" si="6"/>
        <v>2.3E-2</v>
      </c>
      <c r="AL30" s="11">
        <f t="shared" si="4"/>
        <v>1.6168139029732429</v>
      </c>
      <c r="AM30" s="17">
        <f t="shared" si="7"/>
        <v>2.3E-2</v>
      </c>
      <c r="AN30" s="11">
        <f t="shared" si="5"/>
        <v>1.6168139029732429</v>
      </c>
    </row>
    <row r="31" spans="6:40" x14ac:dyDescent="0.25">
      <c r="F31" s="112">
        <v>16201502</v>
      </c>
      <c r="G31" s="113" t="s">
        <v>458</v>
      </c>
      <c r="I31">
        <f t="shared" si="2"/>
        <v>500</v>
      </c>
      <c r="J31" s="34">
        <f t="shared" si="1"/>
        <v>1.01</v>
      </c>
      <c r="K31" s="34">
        <f t="shared" si="1"/>
        <v>0.99399999999999999</v>
      </c>
      <c r="L31" s="34">
        <f t="shared" si="1"/>
        <v>0.434</v>
      </c>
      <c r="N31" s="36">
        <f t="shared" si="9"/>
        <v>2.0566248510112661</v>
      </c>
      <c r="P31" s="37">
        <v>2042</v>
      </c>
      <c r="Q31" s="38">
        <f t="shared" si="10"/>
        <v>2452000</v>
      </c>
    </row>
    <row r="32" spans="6:40" x14ac:dyDescent="0.25">
      <c r="F32" s="112">
        <v>16202001</v>
      </c>
      <c r="G32" s="113" t="s">
        <v>459</v>
      </c>
      <c r="I32">
        <f t="shared" si="2"/>
        <v>510</v>
      </c>
      <c r="J32" s="34">
        <f t="shared" si="1"/>
        <v>0.99019607843137258</v>
      </c>
      <c r="K32" s="34">
        <f t="shared" si="1"/>
        <v>0.97450980392156861</v>
      </c>
      <c r="L32" s="34">
        <f t="shared" si="1"/>
        <v>0.42549019607843136</v>
      </c>
      <c r="N32" s="36">
        <f t="shared" si="9"/>
        <v>2.1347765953496944</v>
      </c>
      <c r="P32" s="37">
        <v>2043</v>
      </c>
      <c r="Q32" s="38">
        <f t="shared" si="10"/>
        <v>2538000</v>
      </c>
    </row>
    <row r="33" spans="6:17" x14ac:dyDescent="0.25">
      <c r="F33" s="112">
        <v>16202501</v>
      </c>
      <c r="G33" s="113" t="s">
        <v>460</v>
      </c>
      <c r="I33">
        <f t="shared" si="2"/>
        <v>520</v>
      </c>
      <c r="J33" s="34">
        <f t="shared" si="1"/>
        <v>0.97115384615384615</v>
      </c>
      <c r="K33" s="34">
        <f t="shared" si="1"/>
        <v>0.95576923076923082</v>
      </c>
      <c r="L33" s="34">
        <f t="shared" si="1"/>
        <v>0.41730769230769232</v>
      </c>
      <c r="N33" s="36">
        <f t="shared" si="9"/>
        <v>2.215898105972983</v>
      </c>
      <c r="P33" s="37">
        <v>2044</v>
      </c>
      <c r="Q33" s="38">
        <f t="shared" si="10"/>
        <v>2627000</v>
      </c>
    </row>
    <row r="34" spans="6:17" x14ac:dyDescent="0.25">
      <c r="F34" s="112">
        <v>16302001</v>
      </c>
      <c r="G34" s="113" t="s">
        <v>461</v>
      </c>
      <c r="I34">
        <f t="shared" si="2"/>
        <v>530</v>
      </c>
      <c r="J34" s="34">
        <f t="shared" si="1"/>
        <v>0.95283018867924529</v>
      </c>
      <c r="K34" s="34">
        <f t="shared" si="1"/>
        <v>0.93773584905660379</v>
      </c>
      <c r="L34" s="34">
        <f t="shared" si="1"/>
        <v>0.40943396226415096</v>
      </c>
      <c r="N34" s="36">
        <f t="shared" si="9"/>
        <v>2.3001022339999566</v>
      </c>
      <c r="P34" s="37">
        <v>2045</v>
      </c>
      <c r="Q34" s="38">
        <f t="shared" si="10"/>
        <v>2719000</v>
      </c>
    </row>
    <row r="35" spans="6:17" x14ac:dyDescent="0.25">
      <c r="F35" s="112">
        <v>16304001</v>
      </c>
      <c r="G35" s="113" t="s">
        <v>462</v>
      </c>
      <c r="I35">
        <f t="shared" si="2"/>
        <v>540</v>
      </c>
      <c r="J35" s="34">
        <f t="shared" si="1"/>
        <v>0.93518518518518523</v>
      </c>
      <c r="K35" s="34">
        <f t="shared" si="1"/>
        <v>0.92037037037037039</v>
      </c>
      <c r="L35" s="34">
        <f t="shared" si="1"/>
        <v>0.40185185185185185</v>
      </c>
    </row>
    <row r="36" spans="6:17" x14ac:dyDescent="0.25">
      <c r="F36" s="112">
        <v>16304002</v>
      </c>
      <c r="G36" s="113" t="s">
        <v>463</v>
      </c>
      <c r="I36">
        <f t="shared" si="2"/>
        <v>550</v>
      </c>
      <c r="J36" s="34">
        <f t="shared" si="1"/>
        <v>0.91818181818181821</v>
      </c>
      <c r="K36" s="34">
        <f t="shared" si="1"/>
        <v>0.90363636363636368</v>
      </c>
      <c r="L36" s="34">
        <f t="shared" si="1"/>
        <v>0.39454545454545453</v>
      </c>
    </row>
    <row r="37" spans="6:17" x14ac:dyDescent="0.25">
      <c r="F37" s="112">
        <v>16304003</v>
      </c>
      <c r="G37" s="113" t="s">
        <v>464</v>
      </c>
      <c r="I37">
        <f t="shared" si="2"/>
        <v>560</v>
      </c>
      <c r="J37" s="34">
        <f t="shared" si="1"/>
        <v>0.9017857142857143</v>
      </c>
      <c r="K37" s="34">
        <f t="shared" si="1"/>
        <v>0.88749999999999996</v>
      </c>
      <c r="L37" s="34">
        <f t="shared" si="1"/>
        <v>0.38750000000000001</v>
      </c>
    </row>
    <row r="38" spans="6:17" ht="18.75" x14ac:dyDescent="0.3">
      <c r="F38" s="112">
        <v>16304004</v>
      </c>
      <c r="G38" s="113" t="s">
        <v>465</v>
      </c>
      <c r="I38">
        <f t="shared" si="2"/>
        <v>570</v>
      </c>
      <c r="J38" s="34">
        <f t="shared" si="1"/>
        <v>0.88596491228070173</v>
      </c>
      <c r="K38" s="34">
        <f t="shared" si="1"/>
        <v>0.87192982456140355</v>
      </c>
      <c r="L38" s="34">
        <f t="shared" si="1"/>
        <v>0.38070175438596493</v>
      </c>
      <c r="N38" s="30" t="s">
        <v>413</v>
      </c>
    </row>
    <row r="39" spans="6:17" x14ac:dyDescent="0.25">
      <c r="F39" s="112">
        <v>16304005</v>
      </c>
      <c r="G39" s="113" t="s">
        <v>466</v>
      </c>
      <c r="I39">
        <f t="shared" si="2"/>
        <v>580</v>
      </c>
      <c r="J39" s="34">
        <f t="shared" si="1"/>
        <v>0.87068965517241381</v>
      </c>
      <c r="K39" s="34">
        <f t="shared" si="1"/>
        <v>0.85689655172413792</v>
      </c>
      <c r="L39" s="34">
        <f t="shared" si="1"/>
        <v>0.37413793103448278</v>
      </c>
      <c r="N39" t="s">
        <v>414</v>
      </c>
      <c r="O39">
        <v>2907</v>
      </c>
    </row>
    <row r="40" spans="6:17" x14ac:dyDescent="0.25">
      <c r="F40" s="112">
        <v>16304006</v>
      </c>
      <c r="G40" s="113" t="s">
        <v>467</v>
      </c>
      <c r="I40">
        <f t="shared" si="2"/>
        <v>590</v>
      </c>
      <c r="J40" s="34">
        <f t="shared" si="1"/>
        <v>0.85593220338983056</v>
      </c>
      <c r="K40" s="34">
        <f t="shared" si="1"/>
        <v>0.84237288135593225</v>
      </c>
      <c r="L40" s="34">
        <f t="shared" si="1"/>
        <v>0.3677966101694915</v>
      </c>
      <c r="N40" t="s">
        <v>415</v>
      </c>
      <c r="O40">
        <v>2907</v>
      </c>
    </row>
    <row r="41" spans="6:17" x14ac:dyDescent="0.25">
      <c r="F41" s="112">
        <v>16304007</v>
      </c>
      <c r="G41" s="113" t="s">
        <v>468</v>
      </c>
      <c r="I41">
        <f t="shared" si="2"/>
        <v>600</v>
      </c>
      <c r="J41" s="34">
        <f t="shared" si="1"/>
        <v>0.84166666666666667</v>
      </c>
      <c r="K41" s="34">
        <f t="shared" si="1"/>
        <v>0.82833333333333337</v>
      </c>
      <c r="L41" s="34">
        <f t="shared" si="1"/>
        <v>0.36166666666666669</v>
      </c>
    </row>
    <row r="42" spans="6:17" x14ac:dyDescent="0.25">
      <c r="F42" s="112">
        <v>16304008</v>
      </c>
      <c r="G42" s="113" t="s">
        <v>469</v>
      </c>
      <c r="I42">
        <f t="shared" si="2"/>
        <v>610</v>
      </c>
      <c r="J42" s="34">
        <f t="shared" si="1"/>
        <v>0.82786885245901642</v>
      </c>
      <c r="K42" s="34">
        <f t="shared" si="1"/>
        <v>0.81475409836065571</v>
      </c>
      <c r="L42" s="34">
        <f t="shared" si="1"/>
        <v>0.3557377049180328</v>
      </c>
    </row>
    <row r="43" spans="6:17" x14ac:dyDescent="0.25">
      <c r="F43" s="112">
        <v>16305001</v>
      </c>
      <c r="G43" s="113" t="s">
        <v>470</v>
      </c>
      <c r="I43">
        <f t="shared" si="2"/>
        <v>620</v>
      </c>
      <c r="J43" s="34">
        <f t="shared" si="1"/>
        <v>0.81451612903225812</v>
      </c>
      <c r="K43" s="34">
        <f t="shared" si="1"/>
        <v>0.80161290322580647</v>
      </c>
      <c r="L43" s="34">
        <f t="shared" si="1"/>
        <v>0.35</v>
      </c>
    </row>
    <row r="44" spans="6:17" x14ac:dyDescent="0.25">
      <c r="F44" s="112">
        <v>16305002</v>
      </c>
      <c r="G44" s="113" t="s">
        <v>471</v>
      </c>
      <c r="I44">
        <f t="shared" si="2"/>
        <v>630</v>
      </c>
      <c r="J44" s="34">
        <f t="shared" si="1"/>
        <v>0.80158730158730163</v>
      </c>
      <c r="K44" s="34">
        <f t="shared" si="1"/>
        <v>0.78888888888888886</v>
      </c>
      <c r="L44" s="34">
        <f t="shared" si="1"/>
        <v>0.34444444444444444</v>
      </c>
    </row>
    <row r="45" spans="6:17" x14ac:dyDescent="0.25">
      <c r="F45" s="112">
        <v>16305003</v>
      </c>
      <c r="G45" s="113" t="s">
        <v>472</v>
      </c>
      <c r="I45">
        <f t="shared" si="2"/>
        <v>640</v>
      </c>
      <c r="J45" s="34">
        <f t="shared" si="1"/>
        <v>0.7890625</v>
      </c>
      <c r="K45" s="34">
        <f t="shared" si="1"/>
        <v>0.77656250000000004</v>
      </c>
      <c r="L45" s="34">
        <f t="shared" si="1"/>
        <v>0.33906249999999999</v>
      </c>
    </row>
    <row r="46" spans="6:17" x14ac:dyDescent="0.25">
      <c r="F46" s="112">
        <v>16305004</v>
      </c>
      <c r="G46" s="113" t="s">
        <v>473</v>
      </c>
      <c r="I46">
        <f t="shared" si="2"/>
        <v>650</v>
      </c>
      <c r="J46" s="34">
        <f t="shared" si="1"/>
        <v>0.77692307692307694</v>
      </c>
      <c r="K46" s="34">
        <f t="shared" si="1"/>
        <v>0.76461538461538459</v>
      </c>
      <c r="L46" s="34">
        <f t="shared" si="1"/>
        <v>0.33384615384615385</v>
      </c>
    </row>
    <row r="47" spans="6:17" x14ac:dyDescent="0.25">
      <c r="F47" s="112">
        <v>16306001</v>
      </c>
      <c r="G47" s="113" t="s">
        <v>474</v>
      </c>
      <c r="I47">
        <f t="shared" si="2"/>
        <v>660</v>
      </c>
      <c r="J47" s="34">
        <f t="shared" si="1"/>
        <v>0.76515151515151514</v>
      </c>
      <c r="K47" s="34">
        <f t="shared" si="1"/>
        <v>0.75303030303030305</v>
      </c>
      <c r="L47" s="34">
        <f t="shared" si="1"/>
        <v>0.3287878787878788</v>
      </c>
    </row>
    <row r="48" spans="6:17" x14ac:dyDescent="0.25">
      <c r="F48" s="112">
        <v>16306002</v>
      </c>
      <c r="G48" s="113" t="s">
        <v>475</v>
      </c>
      <c r="I48">
        <f t="shared" si="2"/>
        <v>670</v>
      </c>
      <c r="J48" s="34">
        <f t="shared" si="1"/>
        <v>0.75373134328358204</v>
      </c>
      <c r="K48" s="34">
        <f t="shared" si="1"/>
        <v>0.74179104477611946</v>
      </c>
      <c r="L48" s="34">
        <f t="shared" si="1"/>
        <v>0.32388059701492539</v>
      </c>
    </row>
    <row r="49" spans="6:12" x14ac:dyDescent="0.25">
      <c r="F49" s="112">
        <v>16306003</v>
      </c>
      <c r="G49" s="113" t="s">
        <v>476</v>
      </c>
      <c r="I49">
        <f t="shared" si="2"/>
        <v>680</v>
      </c>
      <c r="J49" s="34">
        <f t="shared" si="1"/>
        <v>0.74264705882352944</v>
      </c>
      <c r="K49" s="34">
        <f t="shared" si="1"/>
        <v>0.73088235294117643</v>
      </c>
      <c r="L49" s="34">
        <f t="shared" si="1"/>
        <v>0.31911764705882351</v>
      </c>
    </row>
    <row r="50" spans="6:12" x14ac:dyDescent="0.25">
      <c r="F50" s="112">
        <v>16306004</v>
      </c>
      <c r="G50" s="113" t="s">
        <v>477</v>
      </c>
      <c r="I50">
        <f t="shared" si="2"/>
        <v>690</v>
      </c>
      <c r="J50" s="34">
        <f t="shared" si="1"/>
        <v>0.73188405797101452</v>
      </c>
      <c r="K50" s="34">
        <f t="shared" si="1"/>
        <v>0.72028985507246379</v>
      </c>
      <c r="L50" s="34">
        <f t="shared" si="1"/>
        <v>0.3144927536231884</v>
      </c>
    </row>
    <row r="51" spans="6:12" x14ac:dyDescent="0.25">
      <c r="F51" s="112">
        <v>16306005</v>
      </c>
      <c r="G51" s="113" t="s">
        <v>478</v>
      </c>
      <c r="I51">
        <f t="shared" si="2"/>
        <v>700</v>
      </c>
      <c r="J51" s="34">
        <f t="shared" si="1"/>
        <v>0.72142857142857142</v>
      </c>
      <c r="K51" s="34">
        <f t="shared" si="1"/>
        <v>0.71</v>
      </c>
      <c r="L51" s="34">
        <f t="shared" si="1"/>
        <v>0.31</v>
      </c>
    </row>
    <row r="52" spans="6:12" x14ac:dyDescent="0.25">
      <c r="F52" s="112">
        <v>16306006</v>
      </c>
      <c r="G52" s="113" t="s">
        <v>479</v>
      </c>
      <c r="I52">
        <f t="shared" si="2"/>
        <v>710</v>
      </c>
      <c r="J52" s="34">
        <f t="shared" si="1"/>
        <v>0.71126760563380287</v>
      </c>
      <c r="K52" s="34">
        <f t="shared" si="1"/>
        <v>0.7</v>
      </c>
      <c r="L52" s="34">
        <f t="shared" si="1"/>
        <v>0.30563380281690139</v>
      </c>
    </row>
    <row r="53" spans="6:12" x14ac:dyDescent="0.25">
      <c r="F53" s="112">
        <v>16306007</v>
      </c>
      <c r="G53" s="113" t="s">
        <v>480</v>
      </c>
      <c r="I53">
        <f t="shared" si="2"/>
        <v>720</v>
      </c>
      <c r="J53" s="34">
        <f t="shared" si="1"/>
        <v>0.70138888888888884</v>
      </c>
      <c r="K53" s="34">
        <f t="shared" si="1"/>
        <v>0.69027777777777777</v>
      </c>
      <c r="L53" s="34">
        <f t="shared" si="1"/>
        <v>0.30138888888888887</v>
      </c>
    </row>
    <row r="54" spans="6:12" x14ac:dyDescent="0.25">
      <c r="F54" s="112">
        <v>16307001</v>
      </c>
      <c r="G54" s="113" t="s">
        <v>481</v>
      </c>
      <c r="I54">
        <f t="shared" si="2"/>
        <v>730</v>
      </c>
      <c r="J54" s="34">
        <f t="shared" si="1"/>
        <v>0.69178082191780821</v>
      </c>
      <c r="K54" s="34">
        <f t="shared" si="1"/>
        <v>0.68082191780821921</v>
      </c>
      <c r="L54" s="34">
        <f t="shared" si="1"/>
        <v>0.29726027397260274</v>
      </c>
    </row>
    <row r="55" spans="6:12" x14ac:dyDescent="0.25">
      <c r="F55" s="112">
        <v>16307002</v>
      </c>
      <c r="G55" s="113" t="s">
        <v>482</v>
      </c>
      <c r="I55">
        <f t="shared" si="2"/>
        <v>740</v>
      </c>
      <c r="J55" s="34">
        <f t="shared" si="1"/>
        <v>0.68243243243243246</v>
      </c>
      <c r="K55" s="34">
        <f t="shared" si="1"/>
        <v>0.67162162162162165</v>
      </c>
      <c r="L55" s="34">
        <f t="shared" si="1"/>
        <v>0.29324324324324325</v>
      </c>
    </row>
    <row r="56" spans="6:12" x14ac:dyDescent="0.25">
      <c r="F56" s="112">
        <v>16308001</v>
      </c>
      <c r="G56" s="113" t="s">
        <v>483</v>
      </c>
      <c r="I56">
        <f t="shared" si="2"/>
        <v>750</v>
      </c>
      <c r="J56" s="34">
        <f t="shared" si="1"/>
        <v>0.67333333333333334</v>
      </c>
      <c r="K56" s="34">
        <f t="shared" si="1"/>
        <v>0.66266666666666663</v>
      </c>
      <c r="L56" s="34">
        <f t="shared" si="1"/>
        <v>0.28933333333333333</v>
      </c>
    </row>
    <row r="57" spans="6:12" x14ac:dyDescent="0.25">
      <c r="F57" s="112">
        <v>16308002</v>
      </c>
      <c r="G57" s="113" t="s">
        <v>484</v>
      </c>
      <c r="I57">
        <f t="shared" si="2"/>
        <v>760</v>
      </c>
      <c r="J57" s="34">
        <f t="shared" si="1"/>
        <v>0.66447368421052633</v>
      </c>
      <c r="K57" s="34">
        <f t="shared" si="1"/>
        <v>0.65394736842105261</v>
      </c>
      <c r="L57" s="34">
        <f t="shared" si="1"/>
        <v>0.28552631578947368</v>
      </c>
    </row>
    <row r="58" spans="6:12" x14ac:dyDescent="0.25">
      <c r="F58" s="112">
        <v>16308003</v>
      </c>
      <c r="G58" s="113" t="s">
        <v>485</v>
      </c>
      <c r="I58">
        <f t="shared" si="2"/>
        <v>770</v>
      </c>
      <c r="J58" s="34">
        <f t="shared" si="1"/>
        <v>0.6558441558441559</v>
      </c>
      <c r="K58" s="34">
        <f t="shared" si="1"/>
        <v>0.6454545454545455</v>
      </c>
      <c r="L58" s="34">
        <f t="shared" si="1"/>
        <v>0.2818181818181818</v>
      </c>
    </row>
    <row r="59" spans="6:12" x14ac:dyDescent="0.25">
      <c r="F59" s="112">
        <v>16308004</v>
      </c>
      <c r="G59" s="113" t="s">
        <v>486</v>
      </c>
      <c r="I59">
        <f t="shared" si="2"/>
        <v>780</v>
      </c>
      <c r="J59" s="34">
        <f t="shared" si="1"/>
        <v>0.64743589743589747</v>
      </c>
      <c r="K59" s="34">
        <f t="shared" si="1"/>
        <v>0.63717948717948714</v>
      </c>
      <c r="L59" s="34">
        <f t="shared" si="1"/>
        <v>0.27820512820512822</v>
      </c>
    </row>
    <row r="60" spans="6:12" x14ac:dyDescent="0.25">
      <c r="F60" s="112">
        <v>16309001</v>
      </c>
      <c r="G60" s="113" t="s">
        <v>487</v>
      </c>
      <c r="I60">
        <f t="shared" si="2"/>
        <v>790</v>
      </c>
      <c r="J60" s="34">
        <f t="shared" si="1"/>
        <v>0.63924050632911389</v>
      </c>
      <c r="K60" s="34">
        <f t="shared" si="1"/>
        <v>0.62911392405063293</v>
      </c>
      <c r="L60" s="34">
        <f t="shared" si="1"/>
        <v>0.27468354430379749</v>
      </c>
    </row>
    <row r="61" spans="6:12" x14ac:dyDescent="0.25">
      <c r="F61" s="112">
        <v>16309002</v>
      </c>
      <c r="G61" s="113" t="s">
        <v>488</v>
      </c>
      <c r="I61">
        <f t="shared" si="2"/>
        <v>800</v>
      </c>
      <c r="J61" s="34">
        <f t="shared" si="1"/>
        <v>0.63124999999999998</v>
      </c>
      <c r="K61" s="34">
        <f t="shared" si="1"/>
        <v>0.62124999999999997</v>
      </c>
      <c r="L61" s="34">
        <f t="shared" si="1"/>
        <v>0.27124999999999999</v>
      </c>
    </row>
    <row r="62" spans="6:12" x14ac:dyDescent="0.25">
      <c r="F62" s="112">
        <v>16400501</v>
      </c>
      <c r="G62" s="113" t="s">
        <v>489</v>
      </c>
      <c r="I62">
        <f t="shared" si="2"/>
        <v>810</v>
      </c>
      <c r="J62" s="34">
        <f t="shared" si="1"/>
        <v>0.62345679012345678</v>
      </c>
      <c r="K62" s="34">
        <f t="shared" si="1"/>
        <v>0.61358024691358026</v>
      </c>
      <c r="L62" s="34">
        <f t="shared" si="1"/>
        <v>0.26790123456790121</v>
      </c>
    </row>
    <row r="63" spans="6:12" x14ac:dyDescent="0.25">
      <c r="F63" s="112">
        <v>16401001</v>
      </c>
      <c r="G63" s="113" t="s">
        <v>490</v>
      </c>
      <c r="I63">
        <f t="shared" si="2"/>
        <v>820</v>
      </c>
      <c r="J63" s="34">
        <f t="shared" si="1"/>
        <v>0.61585365853658536</v>
      </c>
      <c r="K63" s="34">
        <f t="shared" si="1"/>
        <v>0.60609756097560974</v>
      </c>
      <c r="L63" s="34">
        <f t="shared" si="1"/>
        <v>0.26463414634146343</v>
      </c>
    </row>
    <row r="64" spans="6:12" x14ac:dyDescent="0.25">
      <c r="F64" s="112">
        <v>16500501</v>
      </c>
      <c r="G64" s="113" t="s">
        <v>491</v>
      </c>
      <c r="I64">
        <f t="shared" si="2"/>
        <v>830</v>
      </c>
      <c r="J64" s="34">
        <f t="shared" si="1"/>
        <v>0.60843373493975905</v>
      </c>
      <c r="K64" s="34">
        <f t="shared" si="1"/>
        <v>0.59879518072289162</v>
      </c>
      <c r="L64" s="34">
        <f t="shared" si="1"/>
        <v>0.26144578313253014</v>
      </c>
    </row>
    <row r="65" spans="6:12" x14ac:dyDescent="0.25">
      <c r="F65" s="112">
        <v>16501001</v>
      </c>
      <c r="G65" s="113" t="s">
        <v>492</v>
      </c>
      <c r="I65">
        <f t="shared" si="2"/>
        <v>840</v>
      </c>
      <c r="J65" s="34">
        <f t="shared" si="1"/>
        <v>0.60119047619047616</v>
      </c>
      <c r="K65" s="34">
        <f t="shared" si="1"/>
        <v>0.59166666666666667</v>
      </c>
      <c r="L65" s="34">
        <f t="shared" si="1"/>
        <v>0.25833333333333336</v>
      </c>
    </row>
    <row r="66" spans="6:12" x14ac:dyDescent="0.25">
      <c r="F66" s="112">
        <v>16501501</v>
      </c>
      <c r="G66" s="113" t="s">
        <v>493</v>
      </c>
      <c r="I66">
        <f t="shared" si="2"/>
        <v>850</v>
      </c>
      <c r="J66" s="34">
        <f t="shared" si="1"/>
        <v>0.59411764705882353</v>
      </c>
      <c r="K66" s="34">
        <f t="shared" si="1"/>
        <v>0.58470588235294119</v>
      </c>
      <c r="L66" s="34">
        <f t="shared" si="1"/>
        <v>0.25529411764705884</v>
      </c>
    </row>
    <row r="67" spans="6:12" x14ac:dyDescent="0.25">
      <c r="F67" s="112">
        <v>16502001</v>
      </c>
      <c r="G67" s="113" t="s">
        <v>494</v>
      </c>
      <c r="I67">
        <f t="shared" si="2"/>
        <v>860</v>
      </c>
      <c r="J67" s="34">
        <f t="shared" si="1"/>
        <v>0.58720930232558144</v>
      </c>
      <c r="K67" s="34">
        <f t="shared" si="1"/>
        <v>0.57790697674418601</v>
      </c>
      <c r="L67" s="34">
        <f t="shared" si="1"/>
        <v>0.25232558139534883</v>
      </c>
    </row>
    <row r="68" spans="6:12" x14ac:dyDescent="0.25">
      <c r="F68" s="112">
        <v>16502002</v>
      </c>
      <c r="G68" s="113" t="s">
        <v>495</v>
      </c>
      <c r="I68">
        <f t="shared" si="2"/>
        <v>870</v>
      </c>
      <c r="J68" s="34">
        <f t="shared" si="1"/>
        <v>0.58045977011494254</v>
      </c>
      <c r="K68" s="34">
        <f t="shared" si="1"/>
        <v>0.57126436781609191</v>
      </c>
      <c r="L68" s="34">
        <f t="shared" si="1"/>
        <v>0.24942528735632183</v>
      </c>
    </row>
    <row r="69" spans="6:12" x14ac:dyDescent="0.25">
      <c r="F69" s="112">
        <v>16600501</v>
      </c>
      <c r="G69" s="113" t="s">
        <v>496</v>
      </c>
      <c r="I69">
        <f t="shared" si="2"/>
        <v>880</v>
      </c>
      <c r="J69" s="34">
        <f t="shared" si="1"/>
        <v>0.57386363636363635</v>
      </c>
      <c r="K69" s="34">
        <f t="shared" si="1"/>
        <v>0.56477272727272732</v>
      </c>
      <c r="L69" s="34">
        <f t="shared" si="1"/>
        <v>0.24659090909090908</v>
      </c>
    </row>
    <row r="70" spans="6:12" x14ac:dyDescent="0.25">
      <c r="F70" s="112">
        <v>16601001</v>
      </c>
      <c r="G70" s="113" t="s">
        <v>497</v>
      </c>
      <c r="I70">
        <f t="shared" si="2"/>
        <v>890</v>
      </c>
      <c r="J70" s="34">
        <f t="shared" si="1"/>
        <v>0.56741573033707871</v>
      </c>
      <c r="K70" s="34">
        <f t="shared" si="1"/>
        <v>0.55842696629213484</v>
      </c>
      <c r="L70" s="34">
        <f t="shared" si="1"/>
        <v>0.24382022471910111</v>
      </c>
    </row>
    <row r="71" spans="6:12" x14ac:dyDescent="0.25">
      <c r="F71" s="112">
        <v>16601002</v>
      </c>
      <c r="G71" s="113" t="s">
        <v>498</v>
      </c>
      <c r="I71">
        <f t="shared" si="2"/>
        <v>900</v>
      </c>
      <c r="J71" s="34">
        <f t="shared" ref="J71:L102" si="11">J$3/($I71*1000)</f>
        <v>0.56111111111111112</v>
      </c>
      <c r="K71" s="34">
        <f t="shared" si="11"/>
        <v>0.55222222222222217</v>
      </c>
      <c r="L71" s="34">
        <f t="shared" si="11"/>
        <v>0.24111111111111111</v>
      </c>
    </row>
    <row r="72" spans="6:12" x14ac:dyDescent="0.25">
      <c r="F72" s="112">
        <v>16601003</v>
      </c>
      <c r="G72" s="113" t="s">
        <v>499</v>
      </c>
      <c r="I72">
        <f t="shared" ref="I72:I91" si="12">I71+10</f>
        <v>910</v>
      </c>
      <c r="J72" s="34">
        <f t="shared" si="11"/>
        <v>0.55494505494505497</v>
      </c>
      <c r="K72" s="34">
        <f t="shared" si="11"/>
        <v>0.5461538461538461</v>
      </c>
      <c r="L72" s="34">
        <f t="shared" si="11"/>
        <v>0.23846153846153847</v>
      </c>
    </row>
    <row r="73" spans="6:12" x14ac:dyDescent="0.25">
      <c r="F73" s="112">
        <v>16601004</v>
      </c>
      <c r="G73" s="113" t="s">
        <v>500</v>
      </c>
      <c r="I73">
        <f t="shared" si="12"/>
        <v>920</v>
      </c>
      <c r="J73" s="34">
        <f t="shared" si="11"/>
        <v>0.54891304347826086</v>
      </c>
      <c r="K73" s="34">
        <f t="shared" si="11"/>
        <v>0.54021739130434787</v>
      </c>
      <c r="L73" s="34">
        <f t="shared" si="11"/>
        <v>0.2358695652173913</v>
      </c>
    </row>
    <row r="74" spans="6:12" x14ac:dyDescent="0.25">
      <c r="F74" s="112">
        <v>16601005</v>
      </c>
      <c r="G74" s="113" t="s">
        <v>501</v>
      </c>
      <c r="I74">
        <f t="shared" si="12"/>
        <v>930</v>
      </c>
      <c r="J74" s="34">
        <f t="shared" si="11"/>
        <v>0.543010752688172</v>
      </c>
      <c r="K74" s="34">
        <f t="shared" si="11"/>
        <v>0.53440860215053765</v>
      </c>
      <c r="L74" s="34">
        <f t="shared" si="11"/>
        <v>0.23333333333333334</v>
      </c>
    </row>
    <row r="75" spans="6:12" x14ac:dyDescent="0.25">
      <c r="F75" s="112">
        <v>16601006</v>
      </c>
      <c r="G75" s="113" t="s">
        <v>502</v>
      </c>
      <c r="I75">
        <f t="shared" si="12"/>
        <v>940</v>
      </c>
      <c r="J75" s="34">
        <f t="shared" si="11"/>
        <v>0.53723404255319152</v>
      </c>
      <c r="K75" s="34">
        <f t="shared" si="11"/>
        <v>0.52872340425531916</v>
      </c>
      <c r="L75" s="34">
        <f t="shared" si="11"/>
        <v>0.23085106382978723</v>
      </c>
    </row>
    <row r="76" spans="6:12" x14ac:dyDescent="0.25">
      <c r="F76" s="112">
        <v>16601007</v>
      </c>
      <c r="G76" s="113" t="s">
        <v>503</v>
      </c>
      <c r="I76">
        <f t="shared" si="12"/>
        <v>950</v>
      </c>
      <c r="J76" s="34">
        <f t="shared" si="11"/>
        <v>0.53157894736842104</v>
      </c>
      <c r="K76" s="34">
        <f t="shared" si="11"/>
        <v>0.52315789473684216</v>
      </c>
      <c r="L76" s="34">
        <f t="shared" si="11"/>
        <v>0.22842105263157894</v>
      </c>
    </row>
    <row r="77" spans="6:12" x14ac:dyDescent="0.25">
      <c r="F77" s="112">
        <v>16601500</v>
      </c>
      <c r="G77" s="113" t="s">
        <v>504</v>
      </c>
      <c r="I77">
        <f t="shared" si="12"/>
        <v>960</v>
      </c>
      <c r="J77" s="34">
        <f t="shared" si="11"/>
        <v>0.52604166666666663</v>
      </c>
      <c r="K77" s="34">
        <f t="shared" si="11"/>
        <v>0.51770833333333333</v>
      </c>
      <c r="L77" s="34">
        <f t="shared" si="11"/>
        <v>0.22604166666666667</v>
      </c>
    </row>
    <row r="78" spans="6:12" x14ac:dyDescent="0.25">
      <c r="F78" s="112">
        <v>16601501</v>
      </c>
      <c r="G78" s="113" t="s">
        <v>505</v>
      </c>
      <c r="I78">
        <f t="shared" si="12"/>
        <v>970</v>
      </c>
      <c r="J78" s="34">
        <f t="shared" si="11"/>
        <v>0.52061855670103097</v>
      </c>
      <c r="K78" s="34">
        <f t="shared" si="11"/>
        <v>0.51237113402061851</v>
      </c>
      <c r="L78" s="34">
        <f t="shared" si="11"/>
        <v>0.22371134020618558</v>
      </c>
    </row>
    <row r="79" spans="6:12" x14ac:dyDescent="0.25">
      <c r="F79" s="112">
        <v>16601502</v>
      </c>
      <c r="G79" s="113" t="s">
        <v>506</v>
      </c>
      <c r="I79">
        <f t="shared" si="12"/>
        <v>980</v>
      </c>
      <c r="J79" s="34">
        <f t="shared" si="11"/>
        <v>0.51530612244897955</v>
      </c>
      <c r="K79" s="34">
        <f t="shared" si="11"/>
        <v>0.50714285714285712</v>
      </c>
      <c r="L79" s="34">
        <f t="shared" si="11"/>
        <v>0.22142857142857142</v>
      </c>
    </row>
    <row r="80" spans="6:12" x14ac:dyDescent="0.25">
      <c r="F80" s="112">
        <v>16601503</v>
      </c>
      <c r="G80" s="113" t="s">
        <v>507</v>
      </c>
      <c r="I80">
        <f t="shared" si="12"/>
        <v>990</v>
      </c>
      <c r="J80" s="34">
        <f t="shared" si="11"/>
        <v>0.51010101010101006</v>
      </c>
      <c r="K80" s="34">
        <f t="shared" si="11"/>
        <v>0.50202020202020203</v>
      </c>
      <c r="L80" s="34">
        <f t="shared" si="11"/>
        <v>0.21919191919191919</v>
      </c>
    </row>
    <row r="81" spans="6:12" x14ac:dyDescent="0.25">
      <c r="F81" s="112">
        <v>16601504</v>
      </c>
      <c r="G81" s="113" t="s">
        <v>508</v>
      </c>
      <c r="I81">
        <f t="shared" si="12"/>
        <v>1000</v>
      </c>
      <c r="J81" s="34">
        <f t="shared" si="11"/>
        <v>0.505</v>
      </c>
      <c r="K81" s="34">
        <f t="shared" si="11"/>
        <v>0.497</v>
      </c>
      <c r="L81" s="34">
        <f t="shared" si="11"/>
        <v>0.217</v>
      </c>
    </row>
    <row r="82" spans="6:12" x14ac:dyDescent="0.25">
      <c r="F82" s="112">
        <v>16601505</v>
      </c>
      <c r="G82" s="113" t="s">
        <v>509</v>
      </c>
      <c r="I82">
        <f t="shared" si="12"/>
        <v>1010</v>
      </c>
      <c r="J82" s="34">
        <f t="shared" si="11"/>
        <v>0.5</v>
      </c>
      <c r="K82" s="34">
        <f t="shared" si="11"/>
        <v>0.49207920792079207</v>
      </c>
      <c r="L82" s="34">
        <f t="shared" si="11"/>
        <v>0.21485148514851485</v>
      </c>
    </row>
    <row r="83" spans="6:12" x14ac:dyDescent="0.25">
      <c r="F83" s="112">
        <v>16601506</v>
      </c>
      <c r="G83" s="113" t="s">
        <v>510</v>
      </c>
      <c r="I83">
        <f t="shared" si="12"/>
        <v>1020</v>
      </c>
      <c r="J83" s="34">
        <f t="shared" si="11"/>
        <v>0.49509803921568629</v>
      </c>
      <c r="K83" s="34">
        <f t="shared" si="11"/>
        <v>0.4872549019607843</v>
      </c>
      <c r="L83" s="34">
        <f t="shared" si="11"/>
        <v>0.21274509803921568</v>
      </c>
    </row>
    <row r="84" spans="6:12" x14ac:dyDescent="0.25">
      <c r="F84" s="112">
        <v>16602001</v>
      </c>
      <c r="G84" s="113" t="s">
        <v>511</v>
      </c>
      <c r="I84">
        <f t="shared" si="12"/>
        <v>1030</v>
      </c>
      <c r="J84" s="34">
        <f t="shared" si="11"/>
        <v>0.49029126213592233</v>
      </c>
      <c r="K84" s="34">
        <f t="shared" si="11"/>
        <v>0.48252427184466018</v>
      </c>
      <c r="L84" s="34">
        <f t="shared" si="11"/>
        <v>0.21067961165048543</v>
      </c>
    </row>
    <row r="85" spans="6:12" x14ac:dyDescent="0.25">
      <c r="F85" s="112">
        <v>16602002</v>
      </c>
      <c r="G85" s="113" t="s">
        <v>512</v>
      </c>
      <c r="I85">
        <f t="shared" si="12"/>
        <v>1040</v>
      </c>
      <c r="J85" s="34">
        <f t="shared" si="11"/>
        <v>0.48557692307692307</v>
      </c>
      <c r="K85" s="34">
        <f t="shared" si="11"/>
        <v>0.47788461538461541</v>
      </c>
      <c r="L85" s="34">
        <f t="shared" si="11"/>
        <v>0.20865384615384616</v>
      </c>
    </row>
    <row r="86" spans="6:12" x14ac:dyDescent="0.25">
      <c r="F86" s="112">
        <v>16602003</v>
      </c>
      <c r="G86" s="113" t="s">
        <v>513</v>
      </c>
      <c r="I86">
        <f t="shared" si="12"/>
        <v>1050</v>
      </c>
      <c r="J86" s="34">
        <f t="shared" si="11"/>
        <v>0.48095238095238096</v>
      </c>
      <c r="K86" s="34">
        <f t="shared" si="11"/>
        <v>0.47333333333333333</v>
      </c>
      <c r="L86" s="34">
        <f t="shared" si="11"/>
        <v>0.20666666666666667</v>
      </c>
    </row>
    <row r="87" spans="6:12" x14ac:dyDescent="0.25">
      <c r="F87" s="112">
        <v>16602004</v>
      </c>
      <c r="G87" s="113" t="s">
        <v>514</v>
      </c>
      <c r="I87">
        <f t="shared" si="12"/>
        <v>1060</v>
      </c>
      <c r="J87" s="34">
        <f t="shared" si="11"/>
        <v>0.47641509433962265</v>
      </c>
      <c r="K87" s="34">
        <f t="shared" si="11"/>
        <v>0.46886792452830189</v>
      </c>
      <c r="L87" s="34">
        <f t="shared" si="11"/>
        <v>0.20471698113207548</v>
      </c>
    </row>
    <row r="88" spans="6:12" x14ac:dyDescent="0.25">
      <c r="F88" s="112">
        <v>16602005</v>
      </c>
      <c r="G88" s="113" t="s">
        <v>515</v>
      </c>
      <c r="I88">
        <f t="shared" si="12"/>
        <v>1070</v>
      </c>
      <c r="J88" s="34">
        <f t="shared" si="11"/>
        <v>0.4719626168224299</v>
      </c>
      <c r="K88" s="34">
        <f t="shared" si="11"/>
        <v>0.46448598130841123</v>
      </c>
      <c r="L88" s="34">
        <f t="shared" si="11"/>
        <v>0.202803738317757</v>
      </c>
    </row>
    <row r="89" spans="6:12" x14ac:dyDescent="0.25">
      <c r="F89" s="112">
        <v>16602006</v>
      </c>
      <c r="G89" s="113" t="s">
        <v>516</v>
      </c>
      <c r="I89">
        <f t="shared" si="12"/>
        <v>1080</v>
      </c>
      <c r="J89" s="34">
        <f t="shared" si="11"/>
        <v>0.46759259259259262</v>
      </c>
      <c r="K89" s="34">
        <f t="shared" si="11"/>
        <v>0.4601851851851852</v>
      </c>
      <c r="L89" s="34">
        <f t="shared" si="11"/>
        <v>0.20092592592592592</v>
      </c>
    </row>
    <row r="90" spans="6:12" x14ac:dyDescent="0.25">
      <c r="F90" s="112">
        <v>16603000</v>
      </c>
      <c r="G90" s="113" t="s">
        <v>517</v>
      </c>
      <c r="I90">
        <f t="shared" si="12"/>
        <v>1090</v>
      </c>
      <c r="J90" s="34">
        <f t="shared" si="11"/>
        <v>0.46330275229357798</v>
      </c>
      <c r="K90" s="34">
        <f t="shared" si="11"/>
        <v>0.45596330275229358</v>
      </c>
      <c r="L90" s="34">
        <f t="shared" si="11"/>
        <v>0.19908256880733946</v>
      </c>
    </row>
    <row r="91" spans="6:12" x14ac:dyDescent="0.25">
      <c r="F91" s="112">
        <v>16603001</v>
      </c>
      <c r="G91" s="113" t="s">
        <v>518</v>
      </c>
      <c r="I91">
        <f t="shared" si="12"/>
        <v>1100</v>
      </c>
      <c r="J91" s="34">
        <f t="shared" si="11"/>
        <v>0.45909090909090911</v>
      </c>
      <c r="K91" s="34">
        <f t="shared" si="11"/>
        <v>0.45181818181818184</v>
      </c>
      <c r="L91" s="34">
        <f t="shared" si="11"/>
        <v>0.19727272727272727</v>
      </c>
    </row>
    <row r="92" spans="6:12" x14ac:dyDescent="0.25">
      <c r="F92" s="112">
        <v>16603002</v>
      </c>
      <c r="G92" s="113" t="s">
        <v>519</v>
      </c>
      <c r="I92">
        <f>I91+10</f>
        <v>1110</v>
      </c>
      <c r="J92" s="34">
        <f t="shared" si="11"/>
        <v>0.45495495495495497</v>
      </c>
      <c r="K92" s="34">
        <f t="shared" si="11"/>
        <v>0.44774774774774773</v>
      </c>
      <c r="L92" s="34">
        <f t="shared" si="11"/>
        <v>0.1954954954954955</v>
      </c>
    </row>
    <row r="93" spans="6:12" x14ac:dyDescent="0.25">
      <c r="F93" s="112">
        <v>16603003</v>
      </c>
      <c r="G93" s="113" t="s">
        <v>520</v>
      </c>
      <c r="I93">
        <f t="shared" ref="I93:I119" si="13">I92+10</f>
        <v>1120</v>
      </c>
      <c r="J93" s="34">
        <f t="shared" si="11"/>
        <v>0.45089285714285715</v>
      </c>
      <c r="K93" s="34">
        <f t="shared" si="11"/>
        <v>0.44374999999999998</v>
      </c>
      <c r="L93" s="34">
        <f t="shared" si="11"/>
        <v>0.19375000000000001</v>
      </c>
    </row>
    <row r="94" spans="6:12" x14ac:dyDescent="0.25">
      <c r="F94" s="112">
        <v>16603004</v>
      </c>
      <c r="G94" s="113" t="s">
        <v>521</v>
      </c>
      <c r="I94">
        <f t="shared" si="13"/>
        <v>1130</v>
      </c>
      <c r="J94" s="34">
        <f t="shared" si="11"/>
        <v>0.44690265486725661</v>
      </c>
      <c r="K94" s="34">
        <f t="shared" si="11"/>
        <v>0.4398230088495575</v>
      </c>
      <c r="L94" s="34">
        <f t="shared" si="11"/>
        <v>0.1920353982300885</v>
      </c>
    </row>
    <row r="95" spans="6:12" x14ac:dyDescent="0.25">
      <c r="F95" s="112">
        <v>16603501</v>
      </c>
      <c r="G95" s="113" t="s">
        <v>522</v>
      </c>
      <c r="I95">
        <f t="shared" si="13"/>
        <v>1140</v>
      </c>
      <c r="J95" s="34">
        <f t="shared" si="11"/>
        <v>0.44298245614035087</v>
      </c>
      <c r="K95" s="34">
        <f t="shared" si="11"/>
        <v>0.43596491228070178</v>
      </c>
      <c r="L95" s="34">
        <f t="shared" si="11"/>
        <v>0.19035087719298247</v>
      </c>
    </row>
    <row r="96" spans="6:12" x14ac:dyDescent="0.25">
      <c r="F96" s="112">
        <v>16604001</v>
      </c>
      <c r="G96" s="113" t="s">
        <v>523</v>
      </c>
      <c r="I96">
        <f t="shared" si="13"/>
        <v>1150</v>
      </c>
      <c r="J96" s="34">
        <f t="shared" si="11"/>
        <v>0.43913043478260871</v>
      </c>
      <c r="K96" s="34">
        <f t="shared" si="11"/>
        <v>0.43217391304347824</v>
      </c>
      <c r="L96" s="34">
        <f t="shared" si="11"/>
        <v>0.18869565217391304</v>
      </c>
    </row>
    <row r="97" spans="6:12" x14ac:dyDescent="0.25">
      <c r="F97" s="112">
        <v>16604002</v>
      </c>
      <c r="G97" s="113" t="s">
        <v>524</v>
      </c>
      <c r="I97">
        <f t="shared" si="13"/>
        <v>1160</v>
      </c>
      <c r="J97" s="34">
        <f t="shared" si="11"/>
        <v>0.43534482758620691</v>
      </c>
      <c r="K97" s="34">
        <f t="shared" si="11"/>
        <v>0.42844827586206896</v>
      </c>
      <c r="L97" s="34">
        <f t="shared" si="11"/>
        <v>0.18706896551724139</v>
      </c>
    </row>
    <row r="98" spans="6:12" x14ac:dyDescent="0.25">
      <c r="F98" s="112">
        <v>16604003</v>
      </c>
      <c r="G98" s="113" t="s">
        <v>525</v>
      </c>
      <c r="I98">
        <f t="shared" si="13"/>
        <v>1170</v>
      </c>
      <c r="J98" s="34">
        <f t="shared" si="11"/>
        <v>0.43162393162393164</v>
      </c>
      <c r="K98" s="34">
        <f t="shared" si="11"/>
        <v>0.42478632478632478</v>
      </c>
      <c r="L98" s="34">
        <f t="shared" si="11"/>
        <v>0.18547008547008548</v>
      </c>
    </row>
    <row r="99" spans="6:12" x14ac:dyDescent="0.25">
      <c r="F99" s="112">
        <v>16604004</v>
      </c>
      <c r="G99" s="113" t="s">
        <v>526</v>
      </c>
      <c r="I99">
        <f t="shared" si="13"/>
        <v>1180</v>
      </c>
      <c r="J99" s="34">
        <f t="shared" si="11"/>
        <v>0.42796610169491528</v>
      </c>
      <c r="K99" s="34">
        <f t="shared" si="11"/>
        <v>0.42118644067796612</v>
      </c>
      <c r="L99" s="34">
        <f t="shared" si="11"/>
        <v>0.18389830508474575</v>
      </c>
    </row>
    <row r="100" spans="6:12" x14ac:dyDescent="0.25">
      <c r="F100" s="112">
        <v>16604005</v>
      </c>
      <c r="G100" s="113" t="s">
        <v>527</v>
      </c>
      <c r="I100">
        <f t="shared" si="13"/>
        <v>1190</v>
      </c>
      <c r="J100" s="34">
        <f t="shared" si="11"/>
        <v>0.42436974789915966</v>
      </c>
      <c r="K100" s="34">
        <f t="shared" si="11"/>
        <v>0.41764705882352943</v>
      </c>
      <c r="L100" s="34">
        <f t="shared" si="11"/>
        <v>0.18235294117647058</v>
      </c>
    </row>
    <row r="101" spans="6:12" x14ac:dyDescent="0.25">
      <c r="F101" s="112">
        <v>16604006</v>
      </c>
      <c r="G101" s="113" t="s">
        <v>528</v>
      </c>
      <c r="I101">
        <f t="shared" si="13"/>
        <v>1200</v>
      </c>
      <c r="J101" s="34">
        <f t="shared" si="11"/>
        <v>0.42083333333333334</v>
      </c>
      <c r="K101" s="34">
        <f t="shared" si="11"/>
        <v>0.41416666666666668</v>
      </c>
      <c r="L101" s="34">
        <f t="shared" si="11"/>
        <v>0.18083333333333335</v>
      </c>
    </row>
    <row r="102" spans="6:12" x14ac:dyDescent="0.25">
      <c r="F102" s="112">
        <v>16604007</v>
      </c>
      <c r="G102" s="113" t="s">
        <v>529</v>
      </c>
      <c r="I102">
        <f t="shared" si="13"/>
        <v>1210</v>
      </c>
      <c r="J102" s="34">
        <f t="shared" si="11"/>
        <v>0.41735537190082644</v>
      </c>
      <c r="K102" s="34">
        <f t="shared" si="11"/>
        <v>0.41074380165289254</v>
      </c>
      <c r="L102" s="34">
        <f t="shared" si="11"/>
        <v>0.17933884297520661</v>
      </c>
    </row>
    <row r="103" spans="6:12" x14ac:dyDescent="0.25">
      <c r="F103" s="112">
        <v>16701001</v>
      </c>
      <c r="G103" s="113" t="s">
        <v>530</v>
      </c>
      <c r="I103">
        <f t="shared" si="13"/>
        <v>1220</v>
      </c>
      <c r="J103" s="34">
        <f t="shared" ref="J103:L134" si="14">J$3/($I103*1000)</f>
        <v>0.41393442622950821</v>
      </c>
      <c r="K103" s="34">
        <f t="shared" si="14"/>
        <v>0.40737704918032785</v>
      </c>
      <c r="L103" s="34">
        <f t="shared" si="14"/>
        <v>0.1778688524590164</v>
      </c>
    </row>
    <row r="104" spans="6:12" x14ac:dyDescent="0.25">
      <c r="F104" s="112">
        <v>16800501</v>
      </c>
      <c r="G104" s="113" t="s">
        <v>531</v>
      </c>
      <c r="I104">
        <f t="shared" si="13"/>
        <v>1230</v>
      </c>
      <c r="J104" s="34">
        <f t="shared" si="14"/>
        <v>0.41056910569105692</v>
      </c>
      <c r="K104" s="34">
        <f t="shared" si="14"/>
        <v>0.40406504065040649</v>
      </c>
      <c r="L104" s="34">
        <f t="shared" si="14"/>
        <v>0.17642276422764228</v>
      </c>
    </row>
    <row r="105" spans="6:12" x14ac:dyDescent="0.25">
      <c r="F105" s="112">
        <v>16801000</v>
      </c>
      <c r="G105" s="113" t="s">
        <v>532</v>
      </c>
      <c r="I105">
        <f t="shared" si="13"/>
        <v>1240</v>
      </c>
      <c r="J105" s="34">
        <f t="shared" si="14"/>
        <v>0.40725806451612906</v>
      </c>
      <c r="K105" s="34">
        <f t="shared" si="14"/>
        <v>0.40080645161290324</v>
      </c>
      <c r="L105" s="34">
        <f t="shared" si="14"/>
        <v>0.17499999999999999</v>
      </c>
    </row>
    <row r="106" spans="6:12" x14ac:dyDescent="0.25">
      <c r="F106" s="112">
        <v>16801001</v>
      </c>
      <c r="G106" s="113" t="s">
        <v>533</v>
      </c>
      <c r="I106">
        <f t="shared" si="13"/>
        <v>1250</v>
      </c>
      <c r="J106" s="34">
        <f t="shared" si="14"/>
        <v>0.40400000000000003</v>
      </c>
      <c r="K106" s="34">
        <f t="shared" si="14"/>
        <v>0.39760000000000001</v>
      </c>
      <c r="L106" s="34">
        <f t="shared" si="14"/>
        <v>0.1736</v>
      </c>
    </row>
    <row r="107" spans="6:12" x14ac:dyDescent="0.25">
      <c r="F107" s="112">
        <v>16801002</v>
      </c>
      <c r="G107" s="113" t="s">
        <v>534</v>
      </c>
      <c r="I107">
        <f t="shared" si="13"/>
        <v>1260</v>
      </c>
      <c r="J107" s="34">
        <f t="shared" si="14"/>
        <v>0.40079365079365081</v>
      </c>
      <c r="K107" s="34">
        <f t="shared" si="14"/>
        <v>0.39444444444444443</v>
      </c>
      <c r="L107" s="34">
        <f t="shared" si="14"/>
        <v>0.17222222222222222</v>
      </c>
    </row>
    <row r="108" spans="6:12" x14ac:dyDescent="0.25">
      <c r="F108" s="112">
        <v>16801003</v>
      </c>
      <c r="G108" s="113" t="s">
        <v>535</v>
      </c>
      <c r="I108">
        <f t="shared" si="13"/>
        <v>1270</v>
      </c>
      <c r="J108" s="34">
        <f t="shared" si="14"/>
        <v>0.39763779527559057</v>
      </c>
      <c r="K108" s="34">
        <f t="shared" si="14"/>
        <v>0.39133858267716537</v>
      </c>
      <c r="L108" s="34">
        <f t="shared" si="14"/>
        <v>0.17086614173228346</v>
      </c>
    </row>
    <row r="109" spans="6:12" x14ac:dyDescent="0.25">
      <c r="F109" s="112">
        <v>16801100</v>
      </c>
      <c r="G109" s="113" t="s">
        <v>536</v>
      </c>
      <c r="I109">
        <f t="shared" si="13"/>
        <v>1280</v>
      </c>
      <c r="J109" s="34">
        <f t="shared" si="14"/>
        <v>0.39453125</v>
      </c>
      <c r="K109" s="34">
        <f t="shared" si="14"/>
        <v>0.38828125000000002</v>
      </c>
      <c r="L109" s="34">
        <f t="shared" si="14"/>
        <v>0.16953124999999999</v>
      </c>
    </row>
    <row r="110" spans="6:12" x14ac:dyDescent="0.25">
      <c r="F110" s="112">
        <v>16801101</v>
      </c>
      <c r="G110" s="113" t="s">
        <v>537</v>
      </c>
      <c r="I110">
        <f t="shared" si="13"/>
        <v>1290</v>
      </c>
      <c r="J110" s="34">
        <f t="shared" si="14"/>
        <v>0.39147286821705424</v>
      </c>
      <c r="K110" s="34">
        <f t="shared" si="14"/>
        <v>0.38527131782945734</v>
      </c>
      <c r="L110" s="34">
        <f t="shared" si="14"/>
        <v>0.1682170542635659</v>
      </c>
    </row>
    <row r="111" spans="6:12" x14ac:dyDescent="0.25">
      <c r="F111" s="112">
        <v>16801102</v>
      </c>
      <c r="G111" s="113" t="s">
        <v>538</v>
      </c>
      <c r="I111">
        <f t="shared" si="13"/>
        <v>1300</v>
      </c>
      <c r="J111" s="34">
        <f t="shared" si="14"/>
        <v>0.38846153846153847</v>
      </c>
      <c r="K111" s="34">
        <f t="shared" si="14"/>
        <v>0.38230769230769229</v>
      </c>
      <c r="L111" s="34">
        <f t="shared" si="14"/>
        <v>0.16692307692307692</v>
      </c>
    </row>
    <row r="112" spans="6:12" x14ac:dyDescent="0.25">
      <c r="F112" s="112">
        <v>16801103</v>
      </c>
      <c r="G112" s="113" t="s">
        <v>539</v>
      </c>
      <c r="I112">
        <f t="shared" si="13"/>
        <v>1310</v>
      </c>
      <c r="J112" s="34">
        <f t="shared" si="14"/>
        <v>0.38549618320610685</v>
      </c>
      <c r="K112" s="34">
        <f t="shared" si="14"/>
        <v>0.37938931297709921</v>
      </c>
      <c r="L112" s="34">
        <f t="shared" si="14"/>
        <v>0.16564885496183207</v>
      </c>
    </row>
    <row r="113" spans="6:12" x14ac:dyDescent="0.25">
      <c r="F113" s="112">
        <v>16801200</v>
      </c>
      <c r="G113" s="113" t="s">
        <v>540</v>
      </c>
      <c r="I113">
        <f t="shared" si="13"/>
        <v>1320</v>
      </c>
      <c r="J113" s="34">
        <f t="shared" si="14"/>
        <v>0.38257575757575757</v>
      </c>
      <c r="K113" s="34">
        <f t="shared" si="14"/>
        <v>0.37651515151515152</v>
      </c>
      <c r="L113" s="34">
        <f t="shared" si="14"/>
        <v>0.1643939393939394</v>
      </c>
    </row>
    <row r="114" spans="6:12" x14ac:dyDescent="0.25">
      <c r="F114" s="112">
        <v>16801201</v>
      </c>
      <c r="G114" s="113" t="s">
        <v>541</v>
      </c>
      <c r="I114">
        <f t="shared" si="13"/>
        <v>1330</v>
      </c>
      <c r="J114" s="34">
        <f t="shared" si="14"/>
        <v>0.37969924812030076</v>
      </c>
      <c r="K114" s="34">
        <f t="shared" si="14"/>
        <v>0.37368421052631579</v>
      </c>
      <c r="L114" s="34">
        <f t="shared" si="14"/>
        <v>0.16315789473684211</v>
      </c>
    </row>
    <row r="115" spans="6:12" x14ac:dyDescent="0.25">
      <c r="F115" s="112">
        <v>16801202</v>
      </c>
      <c r="G115" s="113" t="s">
        <v>542</v>
      </c>
      <c r="I115">
        <f t="shared" si="13"/>
        <v>1340</v>
      </c>
      <c r="J115" s="34">
        <f t="shared" si="14"/>
        <v>0.37686567164179102</v>
      </c>
      <c r="K115" s="34">
        <f t="shared" si="14"/>
        <v>0.37089552238805973</v>
      </c>
      <c r="L115" s="34">
        <f t="shared" si="14"/>
        <v>0.16194029850746269</v>
      </c>
    </row>
    <row r="116" spans="6:12" x14ac:dyDescent="0.25">
      <c r="F116" s="112">
        <v>16801203</v>
      </c>
      <c r="G116" s="113" t="s">
        <v>543</v>
      </c>
      <c r="I116">
        <f t="shared" si="13"/>
        <v>1350</v>
      </c>
      <c r="J116" s="34">
        <f t="shared" si="14"/>
        <v>0.37407407407407406</v>
      </c>
      <c r="K116" s="34">
        <f t="shared" si="14"/>
        <v>0.36814814814814817</v>
      </c>
      <c r="L116" s="34">
        <f t="shared" si="14"/>
        <v>0.16074074074074074</v>
      </c>
    </row>
    <row r="117" spans="6:12" x14ac:dyDescent="0.25">
      <c r="F117" s="112">
        <v>16801301</v>
      </c>
      <c r="G117" s="113" t="s">
        <v>544</v>
      </c>
      <c r="I117">
        <f t="shared" si="13"/>
        <v>1360</v>
      </c>
      <c r="J117" s="34">
        <f t="shared" si="14"/>
        <v>0.37132352941176472</v>
      </c>
      <c r="K117" s="34">
        <f t="shared" si="14"/>
        <v>0.36544117647058821</v>
      </c>
      <c r="L117" s="34">
        <f t="shared" si="14"/>
        <v>0.15955882352941175</v>
      </c>
    </row>
    <row r="118" spans="6:12" x14ac:dyDescent="0.25">
      <c r="F118" s="112">
        <v>16900501</v>
      </c>
      <c r="G118" s="113" t="s">
        <v>545</v>
      </c>
      <c r="I118">
        <f t="shared" si="13"/>
        <v>1370</v>
      </c>
      <c r="J118" s="34">
        <f t="shared" si="14"/>
        <v>0.36861313868613138</v>
      </c>
      <c r="K118" s="34">
        <f t="shared" si="14"/>
        <v>0.36277372262773722</v>
      </c>
      <c r="L118" s="34">
        <f t="shared" si="14"/>
        <v>0.1583941605839416</v>
      </c>
    </row>
    <row r="119" spans="6:12" x14ac:dyDescent="0.25">
      <c r="F119" s="112">
        <v>16901001</v>
      </c>
      <c r="G119" s="113" t="s">
        <v>546</v>
      </c>
      <c r="I119">
        <f t="shared" si="13"/>
        <v>1380</v>
      </c>
      <c r="J119" s="34">
        <f t="shared" si="14"/>
        <v>0.36594202898550726</v>
      </c>
      <c r="K119" s="34">
        <f t="shared" si="14"/>
        <v>0.3601449275362319</v>
      </c>
      <c r="L119" s="34">
        <f t="shared" si="14"/>
        <v>0.1572463768115942</v>
      </c>
    </row>
    <row r="120" spans="6:12" x14ac:dyDescent="0.25">
      <c r="F120" s="112">
        <v>16901002</v>
      </c>
      <c r="G120" s="113" t="s">
        <v>547</v>
      </c>
      <c r="I120">
        <f>I119+10</f>
        <v>1390</v>
      </c>
      <c r="J120" s="34">
        <f t="shared" si="14"/>
        <v>0.36330935251798563</v>
      </c>
      <c r="K120" s="34">
        <f t="shared" si="14"/>
        <v>0.35755395683453239</v>
      </c>
      <c r="L120" s="34">
        <f t="shared" si="14"/>
        <v>0.15611510791366906</v>
      </c>
    </row>
    <row r="121" spans="6:12" x14ac:dyDescent="0.25">
      <c r="F121" s="112">
        <v>16901003</v>
      </c>
      <c r="G121" s="113" t="s">
        <v>548</v>
      </c>
      <c r="I121">
        <f t="shared" ref="I121:I184" si="15">I120+10</f>
        <v>1400</v>
      </c>
      <c r="J121" s="34">
        <f t="shared" si="14"/>
        <v>0.36071428571428571</v>
      </c>
      <c r="K121" s="34">
        <f t="shared" si="14"/>
        <v>0.35499999999999998</v>
      </c>
      <c r="L121" s="34">
        <f t="shared" si="14"/>
        <v>0.155</v>
      </c>
    </row>
    <row r="122" spans="6:12" x14ac:dyDescent="0.25">
      <c r="F122" s="112">
        <v>16901004</v>
      </c>
      <c r="G122" s="113" t="s">
        <v>549</v>
      </c>
      <c r="I122">
        <f t="shared" si="15"/>
        <v>1410</v>
      </c>
      <c r="J122" s="34">
        <f t="shared" si="14"/>
        <v>0.35815602836879434</v>
      </c>
      <c r="K122" s="34">
        <f t="shared" si="14"/>
        <v>0.35248226950354611</v>
      </c>
      <c r="L122" s="34">
        <f t="shared" si="14"/>
        <v>0.15390070921985816</v>
      </c>
    </row>
    <row r="123" spans="6:12" x14ac:dyDescent="0.25">
      <c r="F123" s="112">
        <v>16901005</v>
      </c>
      <c r="G123" s="113" t="s">
        <v>550</v>
      </c>
      <c r="I123">
        <f t="shared" si="15"/>
        <v>1420</v>
      </c>
      <c r="J123" s="34">
        <f t="shared" si="14"/>
        <v>0.35563380281690143</v>
      </c>
      <c r="K123" s="34">
        <f t="shared" si="14"/>
        <v>0.35</v>
      </c>
      <c r="L123" s="34">
        <f t="shared" si="14"/>
        <v>0.15281690140845069</v>
      </c>
    </row>
    <row r="124" spans="6:12" x14ac:dyDescent="0.25">
      <c r="F124" s="112">
        <v>16901006</v>
      </c>
      <c r="G124" s="113" t="s">
        <v>551</v>
      </c>
      <c r="I124">
        <f t="shared" si="15"/>
        <v>1430</v>
      </c>
      <c r="J124" s="34">
        <f t="shared" si="14"/>
        <v>0.35314685314685312</v>
      </c>
      <c r="K124" s="34">
        <f t="shared" si="14"/>
        <v>0.34755244755244757</v>
      </c>
      <c r="L124" s="34">
        <f t="shared" si="14"/>
        <v>0.15174825174825174</v>
      </c>
    </row>
    <row r="125" spans="6:12" x14ac:dyDescent="0.25">
      <c r="F125" s="112">
        <v>16901501</v>
      </c>
      <c r="G125" s="113" t="s">
        <v>552</v>
      </c>
      <c r="I125">
        <f t="shared" si="15"/>
        <v>1440</v>
      </c>
      <c r="J125" s="34">
        <f t="shared" si="14"/>
        <v>0.35069444444444442</v>
      </c>
      <c r="K125" s="34">
        <f t="shared" si="14"/>
        <v>0.34513888888888888</v>
      </c>
      <c r="L125" s="34">
        <f t="shared" si="14"/>
        <v>0.15069444444444444</v>
      </c>
    </row>
    <row r="126" spans="6:12" x14ac:dyDescent="0.25">
      <c r="F126" s="112">
        <v>16901502</v>
      </c>
      <c r="G126" s="113" t="s">
        <v>553</v>
      </c>
      <c r="I126">
        <f t="shared" si="15"/>
        <v>1450</v>
      </c>
      <c r="J126" s="34">
        <f t="shared" si="14"/>
        <v>0.34827586206896549</v>
      </c>
      <c r="K126" s="34">
        <f t="shared" si="14"/>
        <v>0.34275862068965518</v>
      </c>
      <c r="L126" s="34">
        <f t="shared" si="14"/>
        <v>0.14965517241379311</v>
      </c>
    </row>
    <row r="127" spans="6:12" x14ac:dyDescent="0.25">
      <c r="F127" s="112">
        <v>16901503</v>
      </c>
      <c r="G127" s="113" t="s">
        <v>554</v>
      </c>
      <c r="I127">
        <f t="shared" si="15"/>
        <v>1460</v>
      </c>
      <c r="J127" s="34">
        <f t="shared" si="14"/>
        <v>0.3458904109589041</v>
      </c>
      <c r="K127" s="34">
        <f t="shared" si="14"/>
        <v>0.34041095890410961</v>
      </c>
      <c r="L127" s="34">
        <f t="shared" si="14"/>
        <v>0.14863013698630137</v>
      </c>
    </row>
    <row r="128" spans="6:12" x14ac:dyDescent="0.25">
      <c r="F128" s="112">
        <v>16901504</v>
      </c>
      <c r="G128" s="113" t="s">
        <v>555</v>
      </c>
      <c r="I128">
        <f t="shared" si="15"/>
        <v>1470</v>
      </c>
      <c r="J128" s="34">
        <f t="shared" si="14"/>
        <v>0.34353741496598639</v>
      </c>
      <c r="K128" s="34">
        <f t="shared" si="14"/>
        <v>0.33809523809523812</v>
      </c>
      <c r="L128" s="34">
        <f t="shared" si="14"/>
        <v>0.14761904761904762</v>
      </c>
    </row>
    <row r="129" spans="6:12" x14ac:dyDescent="0.25">
      <c r="F129" s="112">
        <v>16901505</v>
      </c>
      <c r="G129" s="113" t="s">
        <v>556</v>
      </c>
      <c r="I129">
        <f t="shared" si="15"/>
        <v>1480</v>
      </c>
      <c r="J129" s="34">
        <f t="shared" si="14"/>
        <v>0.34121621621621623</v>
      </c>
      <c r="K129" s="34">
        <f t="shared" si="14"/>
        <v>0.33581081081081082</v>
      </c>
      <c r="L129" s="34">
        <f t="shared" si="14"/>
        <v>0.14662162162162162</v>
      </c>
    </row>
    <row r="130" spans="6:12" x14ac:dyDescent="0.25">
      <c r="F130" s="112">
        <v>16902001</v>
      </c>
      <c r="G130" s="113" t="s">
        <v>557</v>
      </c>
      <c r="I130">
        <f t="shared" si="15"/>
        <v>1490</v>
      </c>
      <c r="J130" s="34">
        <f t="shared" si="14"/>
        <v>0.33892617449664431</v>
      </c>
      <c r="K130" s="34">
        <f t="shared" si="14"/>
        <v>0.33355704697986577</v>
      </c>
      <c r="L130" s="34">
        <f t="shared" si="14"/>
        <v>0.14563758389261744</v>
      </c>
    </row>
    <row r="131" spans="6:12" x14ac:dyDescent="0.25">
      <c r="F131" s="112">
        <v>16902002</v>
      </c>
      <c r="G131" s="113" t="s">
        <v>558</v>
      </c>
      <c r="I131">
        <f t="shared" si="15"/>
        <v>1500</v>
      </c>
      <c r="J131" s="34">
        <f t="shared" si="14"/>
        <v>0.33666666666666667</v>
      </c>
      <c r="K131" s="34">
        <f t="shared" si="14"/>
        <v>0.33133333333333331</v>
      </c>
      <c r="L131" s="34">
        <f t="shared" si="14"/>
        <v>0.14466666666666667</v>
      </c>
    </row>
    <row r="132" spans="6:12" x14ac:dyDescent="0.25">
      <c r="F132" s="112">
        <v>16902003</v>
      </c>
      <c r="G132" s="113" t="s">
        <v>559</v>
      </c>
      <c r="I132">
        <f t="shared" si="15"/>
        <v>1510</v>
      </c>
      <c r="J132" s="34">
        <f t="shared" si="14"/>
        <v>0.33443708609271522</v>
      </c>
      <c r="K132" s="34">
        <f t="shared" si="14"/>
        <v>0.32913907284768212</v>
      </c>
      <c r="L132" s="34">
        <f t="shared" si="14"/>
        <v>0.14370860927152318</v>
      </c>
    </row>
    <row r="133" spans="6:12" x14ac:dyDescent="0.25">
      <c r="F133" s="112">
        <v>16902501</v>
      </c>
      <c r="G133" s="113" t="s">
        <v>560</v>
      </c>
      <c r="I133">
        <f t="shared" si="15"/>
        <v>1520</v>
      </c>
      <c r="J133" s="34">
        <f t="shared" si="14"/>
        <v>0.33223684210526316</v>
      </c>
      <c r="K133" s="34">
        <f t="shared" si="14"/>
        <v>0.32697368421052631</v>
      </c>
      <c r="L133" s="34">
        <f t="shared" si="14"/>
        <v>0.14276315789473684</v>
      </c>
    </row>
    <row r="134" spans="6:12" x14ac:dyDescent="0.25">
      <c r="F134" s="112">
        <v>16903001</v>
      </c>
      <c r="G134" s="113" t="s">
        <v>561</v>
      </c>
      <c r="I134">
        <f t="shared" si="15"/>
        <v>1530</v>
      </c>
      <c r="J134" s="34">
        <f t="shared" si="14"/>
        <v>0.33006535947712418</v>
      </c>
      <c r="K134" s="34">
        <f t="shared" si="14"/>
        <v>0.32483660130718955</v>
      </c>
      <c r="L134" s="34">
        <f t="shared" si="14"/>
        <v>0.14183006535947712</v>
      </c>
    </row>
    <row r="135" spans="6:12" x14ac:dyDescent="0.25">
      <c r="F135" s="112">
        <v>17000501</v>
      </c>
      <c r="G135" s="113" t="s">
        <v>562</v>
      </c>
      <c r="I135">
        <f t="shared" si="15"/>
        <v>1540</v>
      </c>
      <c r="J135" s="34">
        <f t="shared" ref="J135:L166" si="16">J$3/($I135*1000)</f>
        <v>0.32792207792207795</v>
      </c>
      <c r="K135" s="34">
        <f t="shared" si="16"/>
        <v>0.32272727272727275</v>
      </c>
      <c r="L135" s="34">
        <f t="shared" si="16"/>
        <v>0.1409090909090909</v>
      </c>
    </row>
    <row r="136" spans="6:12" x14ac:dyDescent="0.25">
      <c r="F136" s="112">
        <v>20050101</v>
      </c>
      <c r="G136" s="113" t="s">
        <v>563</v>
      </c>
      <c r="I136">
        <f t="shared" si="15"/>
        <v>1550</v>
      </c>
      <c r="J136" s="34">
        <f t="shared" si="16"/>
        <v>0.32580645161290323</v>
      </c>
      <c r="K136" s="34">
        <f t="shared" si="16"/>
        <v>0.32064516129032256</v>
      </c>
      <c r="L136" s="34">
        <f t="shared" si="16"/>
        <v>0.14000000000000001</v>
      </c>
    </row>
    <row r="137" spans="6:12" x14ac:dyDescent="0.25">
      <c r="F137" s="112">
        <v>20050201</v>
      </c>
      <c r="G137" s="113" t="s">
        <v>564</v>
      </c>
      <c r="I137">
        <f t="shared" si="15"/>
        <v>1560</v>
      </c>
      <c r="J137" s="34">
        <f t="shared" si="16"/>
        <v>0.32371794871794873</v>
      </c>
      <c r="K137" s="34">
        <f t="shared" si="16"/>
        <v>0.31858974358974357</v>
      </c>
      <c r="L137" s="34">
        <f t="shared" si="16"/>
        <v>0.13910256410256411</v>
      </c>
    </row>
    <row r="138" spans="6:12" x14ac:dyDescent="0.25">
      <c r="F138" s="112">
        <v>20050202</v>
      </c>
      <c r="G138" s="113" t="s">
        <v>565</v>
      </c>
      <c r="I138">
        <f t="shared" si="15"/>
        <v>1570</v>
      </c>
      <c r="J138" s="34">
        <f t="shared" si="16"/>
        <v>0.321656050955414</v>
      </c>
      <c r="K138" s="34">
        <f t="shared" si="16"/>
        <v>0.31656050955414011</v>
      </c>
      <c r="L138" s="34">
        <f t="shared" si="16"/>
        <v>0.13821656050955414</v>
      </c>
    </row>
    <row r="139" spans="6:12" x14ac:dyDescent="0.25">
      <c r="F139" s="112">
        <v>20100101</v>
      </c>
      <c r="G139" s="113" t="s">
        <v>566</v>
      </c>
      <c r="I139">
        <f t="shared" si="15"/>
        <v>1580</v>
      </c>
      <c r="J139" s="34">
        <f t="shared" si="16"/>
        <v>0.31962025316455694</v>
      </c>
      <c r="K139" s="34">
        <f t="shared" si="16"/>
        <v>0.31455696202531647</v>
      </c>
      <c r="L139" s="34">
        <f t="shared" si="16"/>
        <v>0.13734177215189874</v>
      </c>
    </row>
    <row r="140" spans="6:12" x14ac:dyDescent="0.25">
      <c r="F140" s="112">
        <v>20100201</v>
      </c>
      <c r="G140" s="113" t="s">
        <v>567</v>
      </c>
      <c r="I140">
        <f t="shared" si="15"/>
        <v>1590</v>
      </c>
      <c r="J140" s="34">
        <f t="shared" si="16"/>
        <v>0.31761006289308175</v>
      </c>
      <c r="K140" s="34">
        <f t="shared" si="16"/>
        <v>0.31257861635220124</v>
      </c>
      <c r="L140" s="34">
        <f t="shared" si="16"/>
        <v>0.13647798742138365</v>
      </c>
    </row>
    <row r="141" spans="6:12" x14ac:dyDescent="0.25">
      <c r="F141" s="112">
        <v>20100202</v>
      </c>
      <c r="G141" s="113" t="s">
        <v>568</v>
      </c>
      <c r="I141">
        <f t="shared" si="15"/>
        <v>1600</v>
      </c>
      <c r="J141" s="34">
        <f t="shared" si="16"/>
        <v>0.31562499999999999</v>
      </c>
      <c r="K141" s="34">
        <f t="shared" si="16"/>
        <v>0.31062499999999998</v>
      </c>
      <c r="L141" s="34">
        <f t="shared" si="16"/>
        <v>0.135625</v>
      </c>
    </row>
    <row r="142" spans="6:12" x14ac:dyDescent="0.25">
      <c r="F142" s="112">
        <v>60010501</v>
      </c>
      <c r="G142" s="113" t="s">
        <v>569</v>
      </c>
      <c r="I142">
        <f t="shared" si="15"/>
        <v>1610</v>
      </c>
      <c r="J142" s="34">
        <f t="shared" si="16"/>
        <v>0.31366459627329191</v>
      </c>
      <c r="K142" s="34">
        <f t="shared" si="16"/>
        <v>0.30869565217391304</v>
      </c>
      <c r="L142" s="34">
        <f t="shared" si="16"/>
        <v>0.13478260869565217</v>
      </c>
    </row>
    <row r="143" spans="6:12" x14ac:dyDescent="0.25">
      <c r="F143" s="112">
        <v>60010502</v>
      </c>
      <c r="G143" s="113" t="s">
        <v>570</v>
      </c>
      <c r="I143">
        <f t="shared" si="15"/>
        <v>1620</v>
      </c>
      <c r="J143" s="34">
        <f t="shared" si="16"/>
        <v>0.31172839506172839</v>
      </c>
      <c r="K143" s="34">
        <f t="shared" si="16"/>
        <v>0.30679012345679013</v>
      </c>
      <c r="L143" s="34">
        <f t="shared" si="16"/>
        <v>0.13395061728395061</v>
      </c>
    </row>
    <row r="144" spans="6:12" x14ac:dyDescent="0.25">
      <c r="F144" s="112">
        <v>60100501</v>
      </c>
      <c r="G144" s="113" t="s">
        <v>571</v>
      </c>
      <c r="I144">
        <f t="shared" si="15"/>
        <v>1630</v>
      </c>
      <c r="J144" s="34">
        <f t="shared" si="16"/>
        <v>0.30981595092024539</v>
      </c>
      <c r="K144" s="34">
        <f t="shared" si="16"/>
        <v>0.30490797546012272</v>
      </c>
      <c r="L144" s="34">
        <f t="shared" si="16"/>
        <v>0.13312883435582823</v>
      </c>
    </row>
    <row r="145" spans="6:12" x14ac:dyDescent="0.25">
      <c r="F145" s="112">
        <v>60150501</v>
      </c>
      <c r="G145" s="113" t="s">
        <v>572</v>
      </c>
      <c r="I145">
        <f t="shared" si="15"/>
        <v>1640</v>
      </c>
      <c r="J145" s="34">
        <f t="shared" si="16"/>
        <v>0.30792682926829268</v>
      </c>
      <c r="K145" s="34">
        <f t="shared" si="16"/>
        <v>0.30304878048780487</v>
      </c>
      <c r="L145" s="34">
        <f t="shared" si="16"/>
        <v>0.13231707317073171</v>
      </c>
    </row>
    <row r="146" spans="6:12" x14ac:dyDescent="0.25">
      <c r="F146" s="112">
        <v>60200501</v>
      </c>
      <c r="G146" s="113" t="s">
        <v>573</v>
      </c>
      <c r="I146">
        <f t="shared" si="15"/>
        <v>1650</v>
      </c>
      <c r="J146" s="34">
        <f t="shared" si="16"/>
        <v>0.30606060606060603</v>
      </c>
      <c r="K146" s="34">
        <f t="shared" si="16"/>
        <v>0.30121212121212121</v>
      </c>
      <c r="L146" s="34">
        <f t="shared" si="16"/>
        <v>0.1315151515151515</v>
      </c>
    </row>
    <row r="147" spans="6:12" x14ac:dyDescent="0.25">
      <c r="F147" s="112">
        <v>60250501</v>
      </c>
      <c r="G147" s="113" t="s">
        <v>574</v>
      </c>
      <c r="I147">
        <f t="shared" si="15"/>
        <v>1660</v>
      </c>
      <c r="J147" s="34">
        <f t="shared" si="16"/>
        <v>0.30421686746987953</v>
      </c>
      <c r="K147" s="34">
        <f t="shared" si="16"/>
        <v>0.29939759036144581</v>
      </c>
      <c r="L147" s="34">
        <f t="shared" si="16"/>
        <v>0.13072289156626507</v>
      </c>
    </row>
    <row r="148" spans="6:12" x14ac:dyDescent="0.25">
      <c r="F148" s="112">
        <v>60250502</v>
      </c>
      <c r="G148" s="113" t="s">
        <v>575</v>
      </c>
      <c r="I148">
        <f t="shared" si="15"/>
        <v>1670</v>
      </c>
      <c r="J148" s="34">
        <f t="shared" si="16"/>
        <v>0.30239520958083832</v>
      </c>
      <c r="K148" s="34">
        <f t="shared" si="16"/>
        <v>0.29760479041916166</v>
      </c>
      <c r="L148" s="34">
        <f t="shared" si="16"/>
        <v>0.12994011976047903</v>
      </c>
    </row>
    <row r="149" spans="6:12" x14ac:dyDescent="0.25">
      <c r="F149" s="112">
        <v>60250503</v>
      </c>
      <c r="G149" s="113" t="s">
        <v>576</v>
      </c>
      <c r="I149">
        <f t="shared" si="15"/>
        <v>1680</v>
      </c>
      <c r="J149" s="34">
        <f t="shared" si="16"/>
        <v>0.30059523809523808</v>
      </c>
      <c r="K149" s="34">
        <f t="shared" si="16"/>
        <v>0.29583333333333334</v>
      </c>
      <c r="L149" s="34">
        <f t="shared" si="16"/>
        <v>0.12916666666666668</v>
      </c>
    </row>
    <row r="150" spans="6:12" x14ac:dyDescent="0.25">
      <c r="F150" s="112">
        <v>60250504</v>
      </c>
      <c r="G150" s="113" t="s">
        <v>577</v>
      </c>
      <c r="I150">
        <f t="shared" si="15"/>
        <v>1690</v>
      </c>
      <c r="J150" s="34">
        <f t="shared" si="16"/>
        <v>0.29881656804733731</v>
      </c>
      <c r="K150" s="34">
        <f t="shared" si="16"/>
        <v>0.2940828402366864</v>
      </c>
      <c r="L150" s="34">
        <f t="shared" si="16"/>
        <v>0.12840236686390533</v>
      </c>
    </row>
    <row r="151" spans="6:12" x14ac:dyDescent="0.25">
      <c r="F151" s="112">
        <v>60251501</v>
      </c>
      <c r="G151" s="113" t="s">
        <v>578</v>
      </c>
      <c r="I151">
        <f t="shared" si="15"/>
        <v>1700</v>
      </c>
      <c r="J151" s="34">
        <f t="shared" si="16"/>
        <v>0.29705882352941176</v>
      </c>
      <c r="K151" s="34">
        <f t="shared" si="16"/>
        <v>0.29235294117647059</v>
      </c>
      <c r="L151" s="34">
        <f t="shared" si="16"/>
        <v>0.12764705882352942</v>
      </c>
    </row>
    <row r="152" spans="6:12" x14ac:dyDescent="0.25">
      <c r="F152" s="112">
        <v>60252001</v>
      </c>
      <c r="G152" s="113" t="s">
        <v>579</v>
      </c>
      <c r="I152">
        <f t="shared" si="15"/>
        <v>1710</v>
      </c>
      <c r="J152" s="34">
        <f t="shared" si="16"/>
        <v>0.2953216374269006</v>
      </c>
      <c r="K152" s="34">
        <f t="shared" si="16"/>
        <v>0.29064327485380115</v>
      </c>
      <c r="L152" s="34">
        <f t="shared" si="16"/>
        <v>0.12690058479532162</v>
      </c>
    </row>
    <row r="153" spans="6:12" x14ac:dyDescent="0.25">
      <c r="F153" s="112">
        <v>61010500</v>
      </c>
      <c r="G153" s="113" t="s">
        <v>31</v>
      </c>
      <c r="I153">
        <f t="shared" si="15"/>
        <v>1720</v>
      </c>
      <c r="J153" s="34">
        <f t="shared" si="16"/>
        <v>0.29360465116279072</v>
      </c>
      <c r="K153" s="34">
        <f t="shared" si="16"/>
        <v>0.288953488372093</v>
      </c>
      <c r="L153" s="34">
        <f t="shared" si="16"/>
        <v>0.12616279069767442</v>
      </c>
    </row>
    <row r="154" spans="6:12" x14ac:dyDescent="0.25">
      <c r="F154" s="112">
        <v>61010501</v>
      </c>
      <c r="G154" s="113" t="s">
        <v>32</v>
      </c>
      <c r="I154">
        <f t="shared" si="15"/>
        <v>1730</v>
      </c>
      <c r="J154" s="34">
        <f t="shared" si="16"/>
        <v>0.29190751445086704</v>
      </c>
      <c r="K154" s="34">
        <f t="shared" si="16"/>
        <v>0.28728323699421965</v>
      </c>
      <c r="L154" s="34">
        <f t="shared" si="16"/>
        <v>0.12543352601156069</v>
      </c>
    </row>
    <row r="155" spans="6:12" x14ac:dyDescent="0.25">
      <c r="F155" s="112">
        <v>61010502</v>
      </c>
      <c r="G155" s="113" t="s">
        <v>33</v>
      </c>
      <c r="I155">
        <f t="shared" si="15"/>
        <v>1740</v>
      </c>
      <c r="J155" s="34">
        <f t="shared" si="16"/>
        <v>0.29022988505747127</v>
      </c>
      <c r="K155" s="34">
        <f t="shared" si="16"/>
        <v>0.28563218390804596</v>
      </c>
      <c r="L155" s="34">
        <f t="shared" si="16"/>
        <v>0.12471264367816091</v>
      </c>
    </row>
    <row r="156" spans="6:12" x14ac:dyDescent="0.25">
      <c r="F156" s="112">
        <v>61300501</v>
      </c>
      <c r="G156" s="113" t="s">
        <v>34</v>
      </c>
      <c r="I156">
        <f t="shared" si="15"/>
        <v>1750</v>
      </c>
      <c r="J156" s="34">
        <f t="shared" si="16"/>
        <v>0.28857142857142859</v>
      </c>
      <c r="K156" s="34">
        <f t="shared" si="16"/>
        <v>0.28399999999999997</v>
      </c>
      <c r="L156" s="34">
        <f t="shared" si="16"/>
        <v>0.124</v>
      </c>
    </row>
    <row r="157" spans="6:12" x14ac:dyDescent="0.25">
      <c r="F157" s="112">
        <v>61450501</v>
      </c>
      <c r="G157" s="113" t="s">
        <v>35</v>
      </c>
      <c r="I157">
        <f t="shared" si="15"/>
        <v>1760</v>
      </c>
      <c r="J157" s="34">
        <f t="shared" si="16"/>
        <v>0.28693181818181818</v>
      </c>
      <c r="K157" s="34">
        <f t="shared" si="16"/>
        <v>0.28238636363636366</v>
      </c>
      <c r="L157" s="34">
        <f t="shared" si="16"/>
        <v>0.12329545454545454</v>
      </c>
    </row>
    <row r="158" spans="6:12" x14ac:dyDescent="0.25">
      <c r="F158" s="112">
        <v>61450502</v>
      </c>
      <c r="G158" s="113" t="s">
        <v>36</v>
      </c>
      <c r="I158">
        <f t="shared" si="15"/>
        <v>1770</v>
      </c>
      <c r="J158" s="34">
        <f t="shared" si="16"/>
        <v>0.28531073446327682</v>
      </c>
      <c r="K158" s="34">
        <f t="shared" si="16"/>
        <v>0.28079096045197738</v>
      </c>
      <c r="L158" s="34">
        <f t="shared" si="16"/>
        <v>0.12259887005649718</v>
      </c>
    </row>
    <row r="159" spans="6:12" x14ac:dyDescent="0.25">
      <c r="F159" s="112">
        <v>61500501</v>
      </c>
      <c r="G159" s="113" t="s">
        <v>37</v>
      </c>
      <c r="I159">
        <f t="shared" si="15"/>
        <v>1780</v>
      </c>
      <c r="J159" s="34">
        <f t="shared" si="16"/>
        <v>0.28370786516853935</v>
      </c>
      <c r="K159" s="34">
        <f t="shared" si="16"/>
        <v>0.27921348314606742</v>
      </c>
      <c r="L159" s="34">
        <f t="shared" si="16"/>
        <v>0.12191011235955056</v>
      </c>
    </row>
    <row r="160" spans="6:12" x14ac:dyDescent="0.25">
      <c r="F160" s="112">
        <v>61550501</v>
      </c>
      <c r="G160" s="113" t="s">
        <v>38</v>
      </c>
      <c r="I160">
        <f t="shared" si="15"/>
        <v>1790</v>
      </c>
      <c r="J160" s="34">
        <f t="shared" si="16"/>
        <v>0.28212290502793297</v>
      </c>
      <c r="K160" s="34">
        <f t="shared" si="16"/>
        <v>0.27765363128491621</v>
      </c>
      <c r="L160" s="34">
        <f t="shared" si="16"/>
        <v>0.12122905027932961</v>
      </c>
    </row>
    <row r="161" spans="6:12" x14ac:dyDescent="0.25">
      <c r="F161" s="112">
        <v>61551001</v>
      </c>
      <c r="G161" s="113" t="s">
        <v>39</v>
      </c>
      <c r="I161">
        <f t="shared" si="15"/>
        <v>1800</v>
      </c>
      <c r="J161" s="34">
        <f t="shared" si="16"/>
        <v>0.28055555555555556</v>
      </c>
      <c r="K161" s="34">
        <f t="shared" si="16"/>
        <v>0.27611111111111108</v>
      </c>
      <c r="L161" s="34">
        <f t="shared" si="16"/>
        <v>0.12055555555555555</v>
      </c>
    </row>
    <row r="162" spans="6:12" x14ac:dyDescent="0.25">
      <c r="F162" s="112">
        <v>62010501</v>
      </c>
      <c r="G162" s="113" t="s">
        <v>40</v>
      </c>
      <c r="I162">
        <f t="shared" si="15"/>
        <v>1810</v>
      </c>
      <c r="J162" s="34">
        <f t="shared" si="16"/>
        <v>0.27900552486187846</v>
      </c>
      <c r="K162" s="34">
        <f t="shared" si="16"/>
        <v>0.27458563535911601</v>
      </c>
      <c r="L162" s="34">
        <f t="shared" si="16"/>
        <v>0.11988950276243093</v>
      </c>
    </row>
    <row r="163" spans="6:12" x14ac:dyDescent="0.25">
      <c r="F163" s="112">
        <v>62010502</v>
      </c>
      <c r="G163" s="113" t="s">
        <v>580</v>
      </c>
      <c r="I163">
        <f t="shared" si="15"/>
        <v>1820</v>
      </c>
      <c r="J163" s="34">
        <f t="shared" si="16"/>
        <v>0.27747252747252749</v>
      </c>
      <c r="K163" s="34">
        <f t="shared" si="16"/>
        <v>0.27307692307692305</v>
      </c>
      <c r="L163" s="34">
        <f t="shared" si="16"/>
        <v>0.11923076923076924</v>
      </c>
    </row>
    <row r="164" spans="6:12" x14ac:dyDescent="0.25">
      <c r="F164" s="112">
        <v>62011001</v>
      </c>
      <c r="G164" s="113" t="s">
        <v>41</v>
      </c>
      <c r="I164">
        <f t="shared" si="15"/>
        <v>1830</v>
      </c>
      <c r="J164" s="34">
        <f t="shared" si="16"/>
        <v>0.27595628415300544</v>
      </c>
      <c r="K164" s="34">
        <f t="shared" si="16"/>
        <v>0.2715846994535519</v>
      </c>
      <c r="L164" s="34">
        <f t="shared" si="16"/>
        <v>0.1185792349726776</v>
      </c>
    </row>
    <row r="165" spans="6:12" x14ac:dyDescent="0.25">
      <c r="F165" s="112">
        <v>62350501</v>
      </c>
      <c r="G165" s="113" t="s">
        <v>42</v>
      </c>
      <c r="I165">
        <f t="shared" si="15"/>
        <v>1840</v>
      </c>
      <c r="J165" s="34">
        <f t="shared" si="16"/>
        <v>0.27445652173913043</v>
      </c>
      <c r="K165" s="34">
        <f t="shared" si="16"/>
        <v>0.27010869565217394</v>
      </c>
      <c r="L165" s="34">
        <f t="shared" si="16"/>
        <v>0.11793478260869565</v>
      </c>
    </row>
    <row r="166" spans="6:12" x14ac:dyDescent="0.25">
      <c r="F166" s="112">
        <v>62400501</v>
      </c>
      <c r="G166" s="113" t="s">
        <v>43</v>
      </c>
      <c r="I166">
        <f t="shared" si="15"/>
        <v>1850</v>
      </c>
      <c r="J166" s="34">
        <f t="shared" si="16"/>
        <v>0.27297297297297296</v>
      </c>
      <c r="K166" s="34">
        <f t="shared" si="16"/>
        <v>0.26864864864864862</v>
      </c>
      <c r="L166" s="34">
        <f t="shared" si="16"/>
        <v>0.11729729729729729</v>
      </c>
    </row>
    <row r="167" spans="6:12" x14ac:dyDescent="0.25">
      <c r="F167" s="112">
        <v>62450501</v>
      </c>
      <c r="G167" s="113" t="s">
        <v>44</v>
      </c>
      <c r="I167">
        <f t="shared" si="15"/>
        <v>1860</v>
      </c>
      <c r="J167" s="34">
        <f t="shared" ref="J167:L198" si="17">J$3/($I167*1000)</f>
        <v>0.271505376344086</v>
      </c>
      <c r="K167" s="34">
        <f t="shared" si="17"/>
        <v>0.26720430107526882</v>
      </c>
      <c r="L167" s="34">
        <f t="shared" si="17"/>
        <v>0.11666666666666667</v>
      </c>
    </row>
    <row r="168" spans="6:12" x14ac:dyDescent="0.25">
      <c r="F168" s="112">
        <v>62600501</v>
      </c>
      <c r="G168" s="113" t="s">
        <v>45</v>
      </c>
      <c r="I168">
        <f t="shared" si="15"/>
        <v>1870</v>
      </c>
      <c r="J168" s="34">
        <f t="shared" si="17"/>
        <v>0.2700534759358289</v>
      </c>
      <c r="K168" s="34">
        <f t="shared" si="17"/>
        <v>0.26577540106951869</v>
      </c>
      <c r="L168" s="34">
        <f t="shared" si="17"/>
        <v>0.1160427807486631</v>
      </c>
    </row>
    <row r="169" spans="6:12" x14ac:dyDescent="0.25">
      <c r="F169" s="112">
        <v>62601001</v>
      </c>
      <c r="G169" s="113" t="s">
        <v>46</v>
      </c>
      <c r="I169">
        <f t="shared" si="15"/>
        <v>1880</v>
      </c>
      <c r="J169" s="34">
        <f t="shared" si="17"/>
        <v>0.26861702127659576</v>
      </c>
      <c r="K169" s="34">
        <f t="shared" si="17"/>
        <v>0.26436170212765958</v>
      </c>
      <c r="L169" s="34">
        <f t="shared" si="17"/>
        <v>0.11542553191489362</v>
      </c>
    </row>
    <row r="170" spans="6:12" x14ac:dyDescent="0.25">
      <c r="F170" s="112">
        <v>62700501</v>
      </c>
      <c r="G170" s="113" t="s">
        <v>47</v>
      </c>
      <c r="I170">
        <f t="shared" si="15"/>
        <v>1890</v>
      </c>
      <c r="J170" s="34">
        <f t="shared" si="17"/>
        <v>0.26719576719576721</v>
      </c>
      <c r="K170" s="34">
        <f t="shared" si="17"/>
        <v>0.26296296296296295</v>
      </c>
      <c r="L170" s="34">
        <f t="shared" si="17"/>
        <v>0.11481481481481481</v>
      </c>
    </row>
    <row r="171" spans="6:12" x14ac:dyDescent="0.25">
      <c r="F171" s="112">
        <v>62750501</v>
      </c>
      <c r="G171" s="113" t="s">
        <v>48</v>
      </c>
      <c r="I171">
        <f t="shared" si="15"/>
        <v>1900</v>
      </c>
      <c r="J171" s="34">
        <f t="shared" si="17"/>
        <v>0.26578947368421052</v>
      </c>
      <c r="K171" s="34">
        <f t="shared" si="17"/>
        <v>0.26157894736842108</v>
      </c>
      <c r="L171" s="34">
        <f t="shared" si="17"/>
        <v>0.11421052631578947</v>
      </c>
    </row>
    <row r="172" spans="6:12" x14ac:dyDescent="0.25">
      <c r="F172" s="112">
        <v>62800501</v>
      </c>
      <c r="G172" s="113" t="s">
        <v>49</v>
      </c>
      <c r="I172">
        <f t="shared" si="15"/>
        <v>1910</v>
      </c>
      <c r="J172" s="34">
        <f t="shared" si="17"/>
        <v>0.26439790575916228</v>
      </c>
      <c r="K172" s="34">
        <f t="shared" si="17"/>
        <v>0.26020942408376962</v>
      </c>
      <c r="L172" s="34">
        <f t="shared" si="17"/>
        <v>0.11361256544502618</v>
      </c>
    </row>
    <row r="173" spans="6:12" x14ac:dyDescent="0.25">
      <c r="F173" s="112">
        <v>63010501</v>
      </c>
      <c r="G173" s="113" t="s">
        <v>581</v>
      </c>
      <c r="I173">
        <f t="shared" si="15"/>
        <v>1920</v>
      </c>
      <c r="J173" s="34">
        <f t="shared" si="17"/>
        <v>0.26302083333333331</v>
      </c>
      <c r="K173" s="34">
        <f t="shared" si="17"/>
        <v>0.25885416666666666</v>
      </c>
      <c r="L173" s="34">
        <f t="shared" si="17"/>
        <v>0.11302083333333333</v>
      </c>
    </row>
    <row r="174" spans="6:12" x14ac:dyDescent="0.25">
      <c r="F174" s="112">
        <v>63010502</v>
      </c>
      <c r="G174" s="113" t="s">
        <v>582</v>
      </c>
      <c r="I174">
        <f t="shared" si="15"/>
        <v>1930</v>
      </c>
      <c r="J174" s="34">
        <f t="shared" si="17"/>
        <v>0.26165803108808289</v>
      </c>
      <c r="K174" s="34">
        <f t="shared" si="17"/>
        <v>0.25751295336787566</v>
      </c>
      <c r="L174" s="34">
        <f t="shared" si="17"/>
        <v>0.11243523316062176</v>
      </c>
    </row>
    <row r="175" spans="6:12" x14ac:dyDescent="0.25">
      <c r="F175" s="112">
        <v>63010503</v>
      </c>
      <c r="G175" s="113" t="s">
        <v>583</v>
      </c>
      <c r="I175">
        <f t="shared" si="15"/>
        <v>1940</v>
      </c>
      <c r="J175" s="34">
        <f t="shared" si="17"/>
        <v>0.26030927835051548</v>
      </c>
      <c r="K175" s="34">
        <f t="shared" si="17"/>
        <v>0.25618556701030926</v>
      </c>
      <c r="L175" s="34">
        <f t="shared" si="17"/>
        <v>0.11185567010309279</v>
      </c>
    </row>
    <row r="176" spans="6:12" x14ac:dyDescent="0.25">
      <c r="F176" s="112">
        <v>63010504</v>
      </c>
      <c r="G176" s="113" t="s">
        <v>584</v>
      </c>
      <c r="I176">
        <f t="shared" si="15"/>
        <v>1950</v>
      </c>
      <c r="J176" s="34">
        <f t="shared" si="17"/>
        <v>0.258974358974359</v>
      </c>
      <c r="K176" s="34">
        <f t="shared" si="17"/>
        <v>0.2548717948717949</v>
      </c>
      <c r="L176" s="34">
        <f t="shared" si="17"/>
        <v>0.11128205128205128</v>
      </c>
    </row>
    <row r="177" spans="6:12" x14ac:dyDescent="0.25">
      <c r="F177" s="112">
        <v>63100501</v>
      </c>
      <c r="G177" s="113" t="s">
        <v>50</v>
      </c>
      <c r="I177">
        <f t="shared" si="15"/>
        <v>1960</v>
      </c>
      <c r="J177" s="34">
        <f t="shared" si="17"/>
        <v>0.25765306122448978</v>
      </c>
      <c r="K177" s="34">
        <f t="shared" si="17"/>
        <v>0.25357142857142856</v>
      </c>
      <c r="L177" s="34">
        <f t="shared" si="17"/>
        <v>0.11071428571428571</v>
      </c>
    </row>
    <row r="178" spans="6:12" x14ac:dyDescent="0.25">
      <c r="F178" s="112">
        <v>63100502</v>
      </c>
      <c r="G178" s="113" t="s">
        <v>585</v>
      </c>
      <c r="I178">
        <f t="shared" si="15"/>
        <v>1970</v>
      </c>
      <c r="J178" s="34">
        <f t="shared" si="17"/>
        <v>0.25634517766497461</v>
      </c>
      <c r="K178" s="34">
        <f t="shared" si="17"/>
        <v>0.25228426395939085</v>
      </c>
      <c r="L178" s="34">
        <f t="shared" si="17"/>
        <v>0.11015228426395939</v>
      </c>
    </row>
    <row r="179" spans="6:12" x14ac:dyDescent="0.25">
      <c r="F179" s="112">
        <v>63100503</v>
      </c>
      <c r="G179" s="113" t="s">
        <v>52</v>
      </c>
      <c r="I179">
        <f t="shared" si="15"/>
        <v>1980</v>
      </c>
      <c r="J179" s="34">
        <f t="shared" si="17"/>
        <v>0.25505050505050503</v>
      </c>
      <c r="K179" s="34">
        <f t="shared" si="17"/>
        <v>0.25101010101010102</v>
      </c>
      <c r="L179" s="34">
        <f t="shared" si="17"/>
        <v>0.10959595959595959</v>
      </c>
    </row>
    <row r="180" spans="6:12" x14ac:dyDescent="0.25">
      <c r="F180" s="112">
        <v>63100504</v>
      </c>
      <c r="G180" s="113" t="s">
        <v>586</v>
      </c>
      <c r="I180">
        <f t="shared" si="15"/>
        <v>1990</v>
      </c>
      <c r="J180" s="34">
        <f t="shared" si="17"/>
        <v>0.25376884422110552</v>
      </c>
      <c r="K180" s="34">
        <f t="shared" si="17"/>
        <v>0.24974874371859296</v>
      </c>
      <c r="L180" s="34">
        <f t="shared" si="17"/>
        <v>0.10904522613065326</v>
      </c>
    </row>
    <row r="181" spans="6:12" x14ac:dyDescent="0.25">
      <c r="F181" s="112">
        <v>63100505</v>
      </c>
      <c r="G181" s="113" t="s">
        <v>587</v>
      </c>
      <c r="I181">
        <f t="shared" si="15"/>
        <v>2000</v>
      </c>
      <c r="J181" s="34">
        <f t="shared" si="17"/>
        <v>0.2525</v>
      </c>
      <c r="K181" s="34">
        <f t="shared" si="17"/>
        <v>0.2485</v>
      </c>
      <c r="L181" s="34">
        <f t="shared" si="17"/>
        <v>0.1085</v>
      </c>
    </row>
    <row r="182" spans="6:12" x14ac:dyDescent="0.25">
      <c r="F182" s="112">
        <v>63100506</v>
      </c>
      <c r="G182" s="113" t="s">
        <v>588</v>
      </c>
      <c r="I182">
        <f t="shared" si="15"/>
        <v>2010</v>
      </c>
      <c r="J182" s="34">
        <f t="shared" si="17"/>
        <v>0.25124378109452739</v>
      </c>
      <c r="K182" s="34">
        <f t="shared" si="17"/>
        <v>0.24726368159203979</v>
      </c>
      <c r="L182" s="34">
        <f t="shared" si="17"/>
        <v>0.10796019900497512</v>
      </c>
    </row>
    <row r="183" spans="6:12" x14ac:dyDescent="0.25">
      <c r="F183" s="112">
        <v>63100507</v>
      </c>
      <c r="G183" s="113" t="s">
        <v>589</v>
      </c>
      <c r="I183">
        <f t="shared" si="15"/>
        <v>2020</v>
      </c>
      <c r="J183" s="34">
        <f t="shared" si="17"/>
        <v>0.25</v>
      </c>
      <c r="K183" s="34">
        <f t="shared" si="17"/>
        <v>0.24603960396039604</v>
      </c>
      <c r="L183" s="34">
        <f t="shared" si="17"/>
        <v>0.10742574257425742</v>
      </c>
    </row>
    <row r="184" spans="6:12" x14ac:dyDescent="0.25">
      <c r="F184" s="112">
        <v>63100510</v>
      </c>
      <c r="G184" s="113" t="s">
        <v>590</v>
      </c>
      <c r="I184">
        <f t="shared" si="15"/>
        <v>2030</v>
      </c>
      <c r="J184" s="34">
        <f t="shared" si="17"/>
        <v>0.24876847290640394</v>
      </c>
      <c r="K184" s="34">
        <f t="shared" si="17"/>
        <v>0.24482758620689654</v>
      </c>
      <c r="L184" s="34">
        <f t="shared" si="17"/>
        <v>0.10689655172413794</v>
      </c>
    </row>
    <row r="185" spans="6:12" x14ac:dyDescent="0.25">
      <c r="F185" s="112">
        <v>63100511</v>
      </c>
      <c r="G185" s="113" t="s">
        <v>591</v>
      </c>
      <c r="I185">
        <f>I184+10</f>
        <v>2040</v>
      </c>
      <c r="J185" s="34">
        <f t="shared" si="17"/>
        <v>0.24754901960784315</v>
      </c>
      <c r="K185" s="34">
        <f t="shared" si="17"/>
        <v>0.24362745098039215</v>
      </c>
      <c r="L185" s="34">
        <f t="shared" si="17"/>
        <v>0.10637254901960784</v>
      </c>
    </row>
    <row r="186" spans="6:12" x14ac:dyDescent="0.25">
      <c r="F186" s="112">
        <v>63100512</v>
      </c>
      <c r="G186" s="113" t="s">
        <v>51</v>
      </c>
      <c r="I186">
        <f t="shared" ref="I186:I240" si="18">I185+10</f>
        <v>2050</v>
      </c>
      <c r="J186" s="34">
        <f t="shared" si="17"/>
        <v>0.24634146341463414</v>
      </c>
      <c r="K186" s="34">
        <f t="shared" si="17"/>
        <v>0.2424390243902439</v>
      </c>
      <c r="L186" s="34">
        <f t="shared" si="17"/>
        <v>0.10585365853658536</v>
      </c>
    </row>
    <row r="187" spans="6:12" x14ac:dyDescent="0.25">
      <c r="F187" s="112">
        <v>63101001</v>
      </c>
      <c r="G187" s="113" t="s">
        <v>592</v>
      </c>
      <c r="I187">
        <f t="shared" si="18"/>
        <v>2060</v>
      </c>
      <c r="J187" s="34">
        <f t="shared" si="17"/>
        <v>0.24514563106796117</v>
      </c>
      <c r="K187" s="34">
        <f t="shared" si="17"/>
        <v>0.24126213592233009</v>
      </c>
      <c r="L187" s="34">
        <f t="shared" si="17"/>
        <v>0.10533980582524272</v>
      </c>
    </row>
    <row r="188" spans="6:12" x14ac:dyDescent="0.25">
      <c r="F188" s="112">
        <v>63101002</v>
      </c>
      <c r="G188" s="113" t="s">
        <v>53</v>
      </c>
      <c r="I188">
        <f t="shared" si="18"/>
        <v>2070</v>
      </c>
      <c r="J188" s="34">
        <f t="shared" si="17"/>
        <v>0.24396135265700483</v>
      </c>
      <c r="K188" s="34">
        <f t="shared" si="17"/>
        <v>0.24009661835748791</v>
      </c>
      <c r="L188" s="34">
        <f t="shared" si="17"/>
        <v>0.10483091787439613</v>
      </c>
    </row>
    <row r="189" spans="6:12" x14ac:dyDescent="0.25">
      <c r="F189" s="112">
        <v>63101003</v>
      </c>
      <c r="G189" s="113" t="s">
        <v>54</v>
      </c>
      <c r="I189">
        <f t="shared" si="18"/>
        <v>2080</v>
      </c>
      <c r="J189" s="34">
        <f t="shared" si="17"/>
        <v>0.24278846153846154</v>
      </c>
      <c r="K189" s="34">
        <f t="shared" si="17"/>
        <v>0.2389423076923077</v>
      </c>
      <c r="L189" s="34">
        <f t="shared" si="17"/>
        <v>0.10432692307692308</v>
      </c>
    </row>
    <row r="190" spans="6:12" x14ac:dyDescent="0.25">
      <c r="F190" s="112">
        <v>63101004</v>
      </c>
      <c r="G190" s="113" t="s">
        <v>593</v>
      </c>
      <c r="I190">
        <f t="shared" si="18"/>
        <v>2090</v>
      </c>
      <c r="J190" s="34">
        <f t="shared" si="17"/>
        <v>0.24162679425837322</v>
      </c>
      <c r="K190" s="34">
        <f t="shared" si="17"/>
        <v>0.23779904306220095</v>
      </c>
      <c r="L190" s="34">
        <f t="shared" si="17"/>
        <v>0.10382775119617225</v>
      </c>
    </row>
    <row r="191" spans="6:12" x14ac:dyDescent="0.25">
      <c r="F191" s="112">
        <v>63101501</v>
      </c>
      <c r="G191" s="113" t="s">
        <v>55</v>
      </c>
      <c r="I191">
        <f t="shared" si="18"/>
        <v>2100</v>
      </c>
      <c r="J191" s="34">
        <f t="shared" si="17"/>
        <v>0.24047619047619048</v>
      </c>
      <c r="K191" s="34">
        <f t="shared" si="17"/>
        <v>0.23666666666666666</v>
      </c>
      <c r="L191" s="34">
        <f t="shared" si="17"/>
        <v>0.10333333333333333</v>
      </c>
    </row>
    <row r="192" spans="6:12" x14ac:dyDescent="0.25">
      <c r="F192" s="112">
        <v>63101502</v>
      </c>
      <c r="G192" s="113" t="s">
        <v>56</v>
      </c>
      <c r="I192">
        <f t="shared" si="18"/>
        <v>2110</v>
      </c>
      <c r="J192" s="34">
        <f t="shared" si="17"/>
        <v>0.23933649289099526</v>
      </c>
      <c r="K192" s="34">
        <f t="shared" si="17"/>
        <v>0.23554502369668245</v>
      </c>
      <c r="L192" s="34">
        <f t="shared" si="17"/>
        <v>0.10284360189573459</v>
      </c>
    </row>
    <row r="193" spans="6:12" x14ac:dyDescent="0.25">
      <c r="F193" s="112">
        <v>63101503</v>
      </c>
      <c r="G193" s="113" t="s">
        <v>57</v>
      </c>
      <c r="I193">
        <f t="shared" si="18"/>
        <v>2120</v>
      </c>
      <c r="J193" s="34">
        <f t="shared" si="17"/>
        <v>0.23820754716981132</v>
      </c>
      <c r="K193" s="34">
        <f t="shared" si="17"/>
        <v>0.23443396226415095</v>
      </c>
      <c r="L193" s="34">
        <f t="shared" si="17"/>
        <v>0.10235849056603774</v>
      </c>
    </row>
    <row r="194" spans="6:12" x14ac:dyDescent="0.25">
      <c r="F194" s="112">
        <v>63150501</v>
      </c>
      <c r="G194" s="113" t="s">
        <v>58</v>
      </c>
      <c r="I194">
        <f t="shared" si="18"/>
        <v>2130</v>
      </c>
      <c r="J194" s="34">
        <f t="shared" si="17"/>
        <v>0.23708920187793428</v>
      </c>
      <c r="K194" s="34">
        <f t="shared" si="17"/>
        <v>0.23333333333333334</v>
      </c>
      <c r="L194" s="34">
        <f t="shared" si="17"/>
        <v>0.10187793427230046</v>
      </c>
    </row>
    <row r="195" spans="6:12" x14ac:dyDescent="0.25">
      <c r="F195" s="112">
        <v>63150502</v>
      </c>
      <c r="G195" s="113" t="s">
        <v>59</v>
      </c>
      <c r="I195">
        <f t="shared" si="18"/>
        <v>2140</v>
      </c>
      <c r="J195" s="34">
        <f t="shared" si="17"/>
        <v>0.23598130841121495</v>
      </c>
      <c r="K195" s="34">
        <f t="shared" si="17"/>
        <v>0.23224299065420562</v>
      </c>
      <c r="L195" s="34">
        <f t="shared" si="17"/>
        <v>0.1014018691588785</v>
      </c>
    </row>
    <row r="196" spans="6:12" x14ac:dyDescent="0.25">
      <c r="F196" s="112">
        <v>63150503</v>
      </c>
      <c r="G196" s="113" t="s">
        <v>60</v>
      </c>
      <c r="I196">
        <f t="shared" si="18"/>
        <v>2150</v>
      </c>
      <c r="J196" s="34">
        <f t="shared" si="17"/>
        <v>0.23488372093023255</v>
      </c>
      <c r="K196" s="34">
        <f t="shared" si="17"/>
        <v>0.23116279069767443</v>
      </c>
      <c r="L196" s="34">
        <f t="shared" si="17"/>
        <v>0.10093023255813953</v>
      </c>
    </row>
    <row r="197" spans="6:12" x14ac:dyDescent="0.25">
      <c r="F197" s="112">
        <v>63200501</v>
      </c>
      <c r="G197" s="113" t="s">
        <v>61</v>
      </c>
      <c r="I197">
        <f t="shared" si="18"/>
        <v>2160</v>
      </c>
      <c r="J197" s="34">
        <f t="shared" si="17"/>
        <v>0.23379629629629631</v>
      </c>
      <c r="K197" s="34">
        <f t="shared" si="17"/>
        <v>0.2300925925925926</v>
      </c>
      <c r="L197" s="34">
        <f t="shared" si="17"/>
        <v>0.10046296296296296</v>
      </c>
    </row>
    <row r="198" spans="6:12" x14ac:dyDescent="0.25">
      <c r="F198" s="112">
        <v>63200502</v>
      </c>
      <c r="G198" s="113" t="s">
        <v>62</v>
      </c>
      <c r="I198">
        <f t="shared" si="18"/>
        <v>2170</v>
      </c>
      <c r="J198" s="34">
        <f t="shared" si="17"/>
        <v>0.23271889400921658</v>
      </c>
      <c r="K198" s="34">
        <f t="shared" si="17"/>
        <v>0.22903225806451613</v>
      </c>
      <c r="L198" s="34">
        <f t="shared" si="17"/>
        <v>0.1</v>
      </c>
    </row>
    <row r="199" spans="6:12" x14ac:dyDescent="0.25">
      <c r="F199" s="112">
        <v>63201001</v>
      </c>
      <c r="G199" s="113" t="s">
        <v>594</v>
      </c>
      <c r="I199">
        <f t="shared" si="18"/>
        <v>2180</v>
      </c>
      <c r="J199" s="34">
        <f t="shared" ref="J199:L240" si="19">J$3/($I199*1000)</f>
        <v>0.23165137614678899</v>
      </c>
      <c r="K199" s="34">
        <f t="shared" si="19"/>
        <v>0.22798165137614679</v>
      </c>
      <c r="L199" s="34">
        <f t="shared" si="19"/>
        <v>9.954128440366973E-2</v>
      </c>
    </row>
    <row r="200" spans="6:12" x14ac:dyDescent="0.25">
      <c r="F200" s="112">
        <v>63201002</v>
      </c>
      <c r="G200" s="113" t="s">
        <v>595</v>
      </c>
      <c r="I200">
        <f t="shared" si="18"/>
        <v>2190</v>
      </c>
      <c r="J200" s="34">
        <f t="shared" si="19"/>
        <v>0.23059360730593606</v>
      </c>
      <c r="K200" s="34">
        <f t="shared" si="19"/>
        <v>0.22694063926940639</v>
      </c>
      <c r="L200" s="34">
        <f t="shared" si="19"/>
        <v>9.908675799086758E-2</v>
      </c>
    </row>
    <row r="201" spans="6:12" x14ac:dyDescent="0.25">
      <c r="F201" s="112">
        <v>63201003</v>
      </c>
      <c r="G201" s="113" t="s">
        <v>596</v>
      </c>
      <c r="I201">
        <f t="shared" si="18"/>
        <v>2200</v>
      </c>
      <c r="J201" s="34">
        <f t="shared" si="19"/>
        <v>0.22954545454545455</v>
      </c>
      <c r="K201" s="34">
        <f t="shared" si="19"/>
        <v>0.22590909090909092</v>
      </c>
      <c r="L201" s="34">
        <f t="shared" si="19"/>
        <v>9.8636363636363633E-2</v>
      </c>
    </row>
    <row r="202" spans="6:12" x14ac:dyDescent="0.25">
      <c r="F202" s="112">
        <v>63201004</v>
      </c>
      <c r="G202" s="113" t="s">
        <v>597</v>
      </c>
      <c r="I202">
        <f t="shared" si="18"/>
        <v>2210</v>
      </c>
      <c r="J202" s="34">
        <f t="shared" si="19"/>
        <v>0.22850678733031674</v>
      </c>
      <c r="K202" s="34">
        <f t="shared" si="19"/>
        <v>0.2248868778280543</v>
      </c>
      <c r="L202" s="34">
        <f t="shared" si="19"/>
        <v>9.8190045248868776E-2</v>
      </c>
    </row>
    <row r="203" spans="6:12" x14ac:dyDescent="0.25">
      <c r="F203" s="112">
        <v>63201005</v>
      </c>
      <c r="G203" s="113" t="s">
        <v>598</v>
      </c>
      <c r="I203">
        <f t="shared" si="18"/>
        <v>2220</v>
      </c>
      <c r="J203" s="34">
        <f t="shared" si="19"/>
        <v>0.22747747747747749</v>
      </c>
      <c r="K203" s="34">
        <f t="shared" si="19"/>
        <v>0.22387387387387386</v>
      </c>
      <c r="L203" s="34">
        <f t="shared" si="19"/>
        <v>9.7747747747747749E-2</v>
      </c>
    </row>
    <row r="204" spans="6:12" x14ac:dyDescent="0.25">
      <c r="F204" s="112">
        <v>63250501</v>
      </c>
      <c r="G204" s="113" t="s">
        <v>63</v>
      </c>
      <c r="I204">
        <f t="shared" si="18"/>
        <v>2230</v>
      </c>
      <c r="J204" s="34">
        <f t="shared" si="19"/>
        <v>0.226457399103139</v>
      </c>
      <c r="K204" s="34">
        <f t="shared" si="19"/>
        <v>0.22286995515695068</v>
      </c>
      <c r="L204" s="34">
        <f t="shared" si="19"/>
        <v>9.7309417040358739E-2</v>
      </c>
    </row>
    <row r="205" spans="6:12" x14ac:dyDescent="0.25">
      <c r="F205" s="112">
        <v>63250502</v>
      </c>
      <c r="G205" s="113" t="s">
        <v>64</v>
      </c>
      <c r="I205">
        <f t="shared" si="18"/>
        <v>2240</v>
      </c>
      <c r="J205" s="34">
        <f t="shared" si="19"/>
        <v>0.22544642857142858</v>
      </c>
      <c r="K205" s="34">
        <f t="shared" si="19"/>
        <v>0.22187499999999999</v>
      </c>
      <c r="L205" s="34">
        <f t="shared" si="19"/>
        <v>9.6875000000000003E-2</v>
      </c>
    </row>
    <row r="206" spans="6:12" x14ac:dyDescent="0.25">
      <c r="F206" s="112">
        <v>63250503</v>
      </c>
      <c r="G206" s="113" t="s">
        <v>65</v>
      </c>
      <c r="I206">
        <f t="shared" si="18"/>
        <v>2250</v>
      </c>
      <c r="J206" s="34">
        <f t="shared" si="19"/>
        <v>0.22444444444444445</v>
      </c>
      <c r="K206" s="34">
        <f t="shared" si="19"/>
        <v>0.22088888888888888</v>
      </c>
      <c r="L206" s="34">
        <f t="shared" si="19"/>
        <v>9.6444444444444444E-2</v>
      </c>
    </row>
    <row r="207" spans="6:12" x14ac:dyDescent="0.25">
      <c r="F207" s="112">
        <v>63251001</v>
      </c>
      <c r="G207" s="113" t="s">
        <v>599</v>
      </c>
      <c r="I207">
        <f t="shared" si="18"/>
        <v>2260</v>
      </c>
      <c r="J207" s="34">
        <f t="shared" si="19"/>
        <v>0.22345132743362831</v>
      </c>
      <c r="K207" s="34">
        <f t="shared" si="19"/>
        <v>0.21991150442477875</v>
      </c>
      <c r="L207" s="34">
        <f t="shared" si="19"/>
        <v>9.601769911504425E-2</v>
      </c>
    </row>
    <row r="208" spans="6:12" x14ac:dyDescent="0.25">
      <c r="F208" s="112">
        <v>63251002</v>
      </c>
      <c r="G208" s="113" t="s">
        <v>600</v>
      </c>
      <c r="I208">
        <f t="shared" si="18"/>
        <v>2270</v>
      </c>
      <c r="J208" s="34">
        <f t="shared" si="19"/>
        <v>0.22246696035242292</v>
      </c>
      <c r="K208" s="34">
        <f t="shared" si="19"/>
        <v>0.21894273127753303</v>
      </c>
      <c r="L208" s="34">
        <f t="shared" si="19"/>
        <v>9.5594713656387664E-2</v>
      </c>
    </row>
    <row r="209" spans="6:12" x14ac:dyDescent="0.25">
      <c r="F209" s="112">
        <v>63251003</v>
      </c>
      <c r="G209" s="113" t="s">
        <v>601</v>
      </c>
      <c r="I209">
        <f t="shared" si="18"/>
        <v>2280</v>
      </c>
      <c r="J209" s="34">
        <f t="shared" si="19"/>
        <v>0.22149122807017543</v>
      </c>
      <c r="K209" s="34">
        <f t="shared" si="19"/>
        <v>0.21798245614035089</v>
      </c>
      <c r="L209" s="34">
        <f t="shared" si="19"/>
        <v>9.5175438596491233E-2</v>
      </c>
    </row>
    <row r="210" spans="6:12" x14ac:dyDescent="0.25">
      <c r="F210" s="112">
        <v>63251501</v>
      </c>
      <c r="G210" s="113" t="s">
        <v>602</v>
      </c>
      <c r="I210">
        <f t="shared" si="18"/>
        <v>2290</v>
      </c>
      <c r="J210" s="34">
        <f t="shared" si="19"/>
        <v>0.2205240174672489</v>
      </c>
      <c r="K210" s="34">
        <f t="shared" si="19"/>
        <v>0.21703056768558951</v>
      </c>
      <c r="L210" s="34">
        <f t="shared" si="19"/>
        <v>9.4759825327510913E-2</v>
      </c>
    </row>
    <row r="211" spans="6:12" x14ac:dyDescent="0.25">
      <c r="F211" s="112">
        <v>63300501</v>
      </c>
      <c r="G211" s="113" t="s">
        <v>66</v>
      </c>
      <c r="I211">
        <f t="shared" si="18"/>
        <v>2300</v>
      </c>
      <c r="J211" s="34">
        <f t="shared" si="19"/>
        <v>0.21956521739130436</v>
      </c>
      <c r="K211" s="34">
        <f t="shared" si="19"/>
        <v>0.21608695652173912</v>
      </c>
      <c r="L211" s="34">
        <f t="shared" si="19"/>
        <v>9.4347826086956521E-2</v>
      </c>
    </row>
    <row r="212" spans="6:12" x14ac:dyDescent="0.25">
      <c r="F212" s="112">
        <v>63300502</v>
      </c>
      <c r="G212" s="113" t="s">
        <v>67</v>
      </c>
      <c r="I212">
        <f t="shared" si="18"/>
        <v>2310</v>
      </c>
      <c r="J212" s="34">
        <f t="shared" si="19"/>
        <v>0.21861471861471862</v>
      </c>
      <c r="K212" s="34">
        <f t="shared" si="19"/>
        <v>0.21515151515151515</v>
      </c>
      <c r="L212" s="34">
        <f t="shared" si="19"/>
        <v>9.3939393939393934E-2</v>
      </c>
    </row>
    <row r="213" spans="6:12" x14ac:dyDescent="0.25">
      <c r="F213" s="112">
        <v>63301001</v>
      </c>
      <c r="G213" s="113" t="s">
        <v>603</v>
      </c>
      <c r="I213">
        <f t="shared" si="18"/>
        <v>2320</v>
      </c>
      <c r="J213" s="34">
        <f t="shared" si="19"/>
        <v>0.21767241379310345</v>
      </c>
      <c r="K213" s="34">
        <f t="shared" si="19"/>
        <v>0.21422413793103448</v>
      </c>
      <c r="L213" s="34">
        <f t="shared" si="19"/>
        <v>9.3534482758620696E-2</v>
      </c>
    </row>
    <row r="214" spans="6:12" x14ac:dyDescent="0.25">
      <c r="F214" s="112">
        <v>63301002</v>
      </c>
      <c r="G214" s="113" t="s">
        <v>604</v>
      </c>
      <c r="I214">
        <f t="shared" si="18"/>
        <v>2330</v>
      </c>
      <c r="J214" s="34">
        <f t="shared" si="19"/>
        <v>0.2167381974248927</v>
      </c>
      <c r="K214" s="34">
        <f t="shared" si="19"/>
        <v>0.21330472103004292</v>
      </c>
      <c r="L214" s="34">
        <f t="shared" si="19"/>
        <v>9.3133047210300426E-2</v>
      </c>
    </row>
    <row r="215" spans="6:12" x14ac:dyDescent="0.25">
      <c r="F215" s="112">
        <v>63301003</v>
      </c>
      <c r="G215" s="113" t="s">
        <v>605</v>
      </c>
      <c r="I215">
        <f t="shared" si="18"/>
        <v>2340</v>
      </c>
      <c r="J215" s="34">
        <f t="shared" si="19"/>
        <v>0.21581196581196582</v>
      </c>
      <c r="K215" s="34">
        <f t="shared" si="19"/>
        <v>0.21239316239316239</v>
      </c>
      <c r="L215" s="34">
        <f t="shared" si="19"/>
        <v>9.2735042735042739E-2</v>
      </c>
    </row>
    <row r="216" spans="6:12" x14ac:dyDescent="0.25">
      <c r="F216" s="112">
        <v>63301004</v>
      </c>
      <c r="G216" s="113" t="s">
        <v>606</v>
      </c>
      <c r="I216">
        <f t="shared" si="18"/>
        <v>2350</v>
      </c>
      <c r="J216" s="34">
        <f t="shared" si="19"/>
        <v>0.2148936170212766</v>
      </c>
      <c r="K216" s="34">
        <f t="shared" si="19"/>
        <v>0.21148936170212765</v>
      </c>
      <c r="L216" s="34">
        <f t="shared" si="19"/>
        <v>9.2340425531914891E-2</v>
      </c>
    </row>
    <row r="217" spans="6:12" x14ac:dyDescent="0.25">
      <c r="F217" s="112">
        <v>63301005</v>
      </c>
      <c r="G217" s="113" t="s">
        <v>607</v>
      </c>
      <c r="I217">
        <f t="shared" si="18"/>
        <v>2360</v>
      </c>
      <c r="J217" s="34">
        <f t="shared" si="19"/>
        <v>0.21398305084745764</v>
      </c>
      <c r="K217" s="34">
        <f t="shared" si="19"/>
        <v>0.21059322033898306</v>
      </c>
      <c r="L217" s="34">
        <f t="shared" si="19"/>
        <v>9.1949152542372875E-2</v>
      </c>
    </row>
    <row r="218" spans="6:12" x14ac:dyDescent="0.25">
      <c r="F218" s="112">
        <v>63301006</v>
      </c>
      <c r="G218" s="113" t="s">
        <v>608</v>
      </c>
      <c r="I218">
        <f t="shared" si="18"/>
        <v>2370</v>
      </c>
      <c r="J218" s="34">
        <f t="shared" si="19"/>
        <v>0.21308016877637131</v>
      </c>
      <c r="K218" s="34">
        <f t="shared" si="19"/>
        <v>0.20970464135021097</v>
      </c>
      <c r="L218" s="34">
        <f t="shared" si="19"/>
        <v>9.1561181434599154E-2</v>
      </c>
    </row>
    <row r="219" spans="6:12" x14ac:dyDescent="0.25">
      <c r="F219" s="112">
        <v>63301501</v>
      </c>
      <c r="G219" s="113" t="s">
        <v>68</v>
      </c>
      <c r="I219">
        <f t="shared" si="18"/>
        <v>2380</v>
      </c>
      <c r="J219" s="34">
        <f t="shared" si="19"/>
        <v>0.21218487394957983</v>
      </c>
      <c r="K219" s="34">
        <f t="shared" si="19"/>
        <v>0.20882352941176471</v>
      </c>
      <c r="L219" s="34">
        <f t="shared" si="19"/>
        <v>9.1176470588235289E-2</v>
      </c>
    </row>
    <row r="220" spans="6:12" x14ac:dyDescent="0.25">
      <c r="F220" s="112">
        <v>63350501</v>
      </c>
      <c r="G220" s="113" t="s">
        <v>69</v>
      </c>
      <c r="I220">
        <f t="shared" si="18"/>
        <v>2390</v>
      </c>
      <c r="J220" s="34">
        <f t="shared" si="19"/>
        <v>0.21129707112970711</v>
      </c>
      <c r="K220" s="34">
        <f t="shared" si="19"/>
        <v>0.20794979079497908</v>
      </c>
      <c r="L220" s="34">
        <f t="shared" si="19"/>
        <v>9.0794979079497906E-2</v>
      </c>
    </row>
    <row r="221" spans="6:12" x14ac:dyDescent="0.25">
      <c r="F221" s="112">
        <v>63350502</v>
      </c>
      <c r="G221" s="113" t="s">
        <v>609</v>
      </c>
      <c r="I221">
        <f t="shared" si="18"/>
        <v>2400</v>
      </c>
      <c r="J221" s="34">
        <f t="shared" si="19"/>
        <v>0.21041666666666667</v>
      </c>
      <c r="K221" s="34">
        <f t="shared" si="19"/>
        <v>0.20708333333333334</v>
      </c>
      <c r="L221" s="34">
        <f t="shared" si="19"/>
        <v>9.0416666666666673E-2</v>
      </c>
    </row>
    <row r="222" spans="6:12" x14ac:dyDescent="0.25">
      <c r="F222" s="112">
        <v>63350503</v>
      </c>
      <c r="G222" s="113" t="s">
        <v>610</v>
      </c>
      <c r="I222">
        <f t="shared" si="18"/>
        <v>2410</v>
      </c>
      <c r="J222" s="34">
        <f t="shared" si="19"/>
        <v>0.2095435684647303</v>
      </c>
      <c r="K222" s="34">
        <f t="shared" si="19"/>
        <v>0.20622406639004148</v>
      </c>
      <c r="L222" s="34">
        <f t="shared" si="19"/>
        <v>9.0041493775933609E-2</v>
      </c>
    </row>
    <row r="223" spans="6:12" x14ac:dyDescent="0.25">
      <c r="F223" s="112">
        <v>63350504</v>
      </c>
      <c r="G223" s="113" t="s">
        <v>611</v>
      </c>
      <c r="I223">
        <f t="shared" si="18"/>
        <v>2420</v>
      </c>
      <c r="J223" s="34">
        <f t="shared" si="19"/>
        <v>0.20867768595041322</v>
      </c>
      <c r="K223" s="34">
        <f t="shared" si="19"/>
        <v>0.20537190082644627</v>
      </c>
      <c r="L223" s="34">
        <f t="shared" si="19"/>
        <v>8.9669421487603304E-2</v>
      </c>
    </row>
    <row r="224" spans="6:12" x14ac:dyDescent="0.25">
      <c r="F224" s="112">
        <v>63350505</v>
      </c>
      <c r="G224" s="113" t="s">
        <v>612</v>
      </c>
      <c r="I224">
        <f t="shared" si="18"/>
        <v>2430</v>
      </c>
      <c r="J224" s="34">
        <f t="shared" si="19"/>
        <v>0.20781893004115226</v>
      </c>
      <c r="K224" s="34">
        <f t="shared" si="19"/>
        <v>0.20452674897119341</v>
      </c>
      <c r="L224" s="34">
        <f t="shared" si="19"/>
        <v>8.9300411522633738E-2</v>
      </c>
    </row>
    <row r="225" spans="6:12" x14ac:dyDescent="0.25">
      <c r="F225" s="112">
        <v>63350506</v>
      </c>
      <c r="G225" s="113" t="s">
        <v>70</v>
      </c>
      <c r="I225">
        <f t="shared" si="18"/>
        <v>2440</v>
      </c>
      <c r="J225" s="34">
        <f t="shared" si="19"/>
        <v>0.20696721311475411</v>
      </c>
      <c r="K225" s="34">
        <f t="shared" si="19"/>
        <v>0.20368852459016393</v>
      </c>
      <c r="L225" s="34">
        <f t="shared" si="19"/>
        <v>8.8934426229508201E-2</v>
      </c>
    </row>
    <row r="226" spans="6:12" x14ac:dyDescent="0.25">
      <c r="F226" s="112">
        <v>63350507</v>
      </c>
      <c r="G226" s="113" t="s">
        <v>613</v>
      </c>
      <c r="I226">
        <f t="shared" si="18"/>
        <v>2450</v>
      </c>
      <c r="J226" s="34">
        <f t="shared" si="19"/>
        <v>0.20612244897959184</v>
      </c>
      <c r="K226" s="34">
        <f t="shared" si="19"/>
        <v>0.20285714285714285</v>
      </c>
      <c r="L226" s="34">
        <f t="shared" si="19"/>
        <v>8.8571428571428565E-2</v>
      </c>
    </row>
    <row r="227" spans="6:12" x14ac:dyDescent="0.25">
      <c r="F227" s="112">
        <v>63350508</v>
      </c>
      <c r="G227" s="113" t="s">
        <v>614</v>
      </c>
      <c r="I227">
        <f t="shared" si="18"/>
        <v>2460</v>
      </c>
      <c r="J227" s="34">
        <f t="shared" si="19"/>
        <v>0.20528455284552846</v>
      </c>
      <c r="K227" s="34">
        <f t="shared" si="19"/>
        <v>0.20203252032520325</v>
      </c>
      <c r="L227" s="34">
        <f t="shared" si="19"/>
        <v>8.8211382113821138E-2</v>
      </c>
    </row>
    <row r="228" spans="6:12" x14ac:dyDescent="0.25">
      <c r="F228" s="112">
        <v>63351001</v>
      </c>
      <c r="G228" s="113" t="s">
        <v>615</v>
      </c>
      <c r="I228">
        <f t="shared" si="18"/>
        <v>2470</v>
      </c>
      <c r="J228" s="34">
        <f t="shared" si="19"/>
        <v>0.20445344129554655</v>
      </c>
      <c r="K228" s="34">
        <f t="shared" si="19"/>
        <v>0.20121457489878541</v>
      </c>
      <c r="L228" s="34">
        <f t="shared" si="19"/>
        <v>8.7854251012145751E-2</v>
      </c>
    </row>
    <row r="229" spans="6:12" x14ac:dyDescent="0.25">
      <c r="F229" s="112">
        <v>63351002</v>
      </c>
      <c r="G229" s="113" t="s">
        <v>616</v>
      </c>
      <c r="I229">
        <f t="shared" si="18"/>
        <v>2480</v>
      </c>
      <c r="J229" s="34">
        <f t="shared" si="19"/>
        <v>0.20362903225806453</v>
      </c>
      <c r="K229" s="34">
        <f t="shared" si="19"/>
        <v>0.20040322580645162</v>
      </c>
      <c r="L229" s="34">
        <f t="shared" si="19"/>
        <v>8.7499999999999994E-2</v>
      </c>
    </row>
    <row r="230" spans="6:12" x14ac:dyDescent="0.25">
      <c r="F230" s="112">
        <v>63351003</v>
      </c>
      <c r="G230" s="113" t="s">
        <v>617</v>
      </c>
      <c r="I230">
        <f t="shared" si="18"/>
        <v>2490</v>
      </c>
      <c r="J230" s="34">
        <f t="shared" si="19"/>
        <v>0.20281124497991967</v>
      </c>
      <c r="K230" s="34">
        <f t="shared" si="19"/>
        <v>0.19959839357429718</v>
      </c>
      <c r="L230" s="34">
        <f t="shared" si="19"/>
        <v>8.7148594377510047E-2</v>
      </c>
    </row>
    <row r="231" spans="6:12" x14ac:dyDescent="0.25">
      <c r="F231" s="112">
        <v>63351004</v>
      </c>
      <c r="G231" s="113" t="s">
        <v>618</v>
      </c>
      <c r="I231">
        <f t="shared" si="18"/>
        <v>2500</v>
      </c>
      <c r="J231" s="34">
        <f t="shared" si="19"/>
        <v>0.20200000000000001</v>
      </c>
      <c r="K231" s="34">
        <f t="shared" si="19"/>
        <v>0.1988</v>
      </c>
      <c r="L231" s="34">
        <f t="shared" si="19"/>
        <v>8.6800000000000002E-2</v>
      </c>
    </row>
    <row r="232" spans="6:12" x14ac:dyDescent="0.25">
      <c r="F232" s="112">
        <v>63351501</v>
      </c>
      <c r="G232" s="113" t="s">
        <v>71</v>
      </c>
      <c r="I232">
        <f t="shared" si="18"/>
        <v>2510</v>
      </c>
      <c r="J232" s="34">
        <f t="shared" si="19"/>
        <v>0.20119521912350596</v>
      </c>
      <c r="K232" s="34">
        <f t="shared" si="19"/>
        <v>0.19800796812749005</v>
      </c>
      <c r="L232" s="34">
        <f t="shared" si="19"/>
        <v>8.6454183266932272E-2</v>
      </c>
    </row>
    <row r="233" spans="6:12" x14ac:dyDescent="0.25">
      <c r="F233" s="112">
        <v>63550501</v>
      </c>
      <c r="G233" s="113" t="s">
        <v>619</v>
      </c>
      <c r="I233">
        <f t="shared" si="18"/>
        <v>2520</v>
      </c>
      <c r="J233" s="34">
        <f t="shared" si="19"/>
        <v>0.20039682539682541</v>
      </c>
      <c r="K233" s="34">
        <f t="shared" si="19"/>
        <v>0.19722222222222222</v>
      </c>
      <c r="L233" s="34">
        <f t="shared" si="19"/>
        <v>8.611111111111111E-2</v>
      </c>
    </row>
    <row r="234" spans="6:12" x14ac:dyDescent="0.25">
      <c r="F234" s="112">
        <v>63550502</v>
      </c>
      <c r="G234" s="113" t="s">
        <v>620</v>
      </c>
      <c r="I234">
        <f t="shared" si="18"/>
        <v>2530</v>
      </c>
      <c r="J234" s="34">
        <f t="shared" si="19"/>
        <v>0.19960474308300397</v>
      </c>
      <c r="K234" s="34">
        <f t="shared" si="19"/>
        <v>0.19644268774703558</v>
      </c>
      <c r="L234" s="34">
        <f t="shared" si="19"/>
        <v>8.5770750988142297E-2</v>
      </c>
    </row>
    <row r="235" spans="6:12" x14ac:dyDescent="0.25">
      <c r="F235" s="112">
        <v>63550503</v>
      </c>
      <c r="G235" s="113" t="s">
        <v>621</v>
      </c>
      <c r="I235">
        <f t="shared" si="18"/>
        <v>2540</v>
      </c>
      <c r="J235" s="34">
        <f t="shared" si="19"/>
        <v>0.19881889763779528</v>
      </c>
      <c r="K235" s="34">
        <f t="shared" si="19"/>
        <v>0.19566929133858268</v>
      </c>
      <c r="L235" s="34">
        <f t="shared" si="19"/>
        <v>8.5433070866141728E-2</v>
      </c>
    </row>
    <row r="236" spans="6:12" x14ac:dyDescent="0.25">
      <c r="F236" s="112">
        <v>63550504</v>
      </c>
      <c r="G236" s="113" t="s">
        <v>72</v>
      </c>
      <c r="I236">
        <f t="shared" si="18"/>
        <v>2550</v>
      </c>
      <c r="J236" s="34">
        <f t="shared" si="19"/>
        <v>0.1980392156862745</v>
      </c>
      <c r="K236" s="34">
        <f t="shared" si="19"/>
        <v>0.19490196078431374</v>
      </c>
      <c r="L236" s="34">
        <f t="shared" si="19"/>
        <v>8.5098039215686275E-2</v>
      </c>
    </row>
    <row r="237" spans="6:12" x14ac:dyDescent="0.25">
      <c r="F237" s="112">
        <v>63551001</v>
      </c>
      <c r="G237" s="113" t="s">
        <v>622</v>
      </c>
      <c r="I237">
        <f t="shared" si="18"/>
        <v>2560</v>
      </c>
      <c r="J237" s="34">
        <f t="shared" si="19"/>
        <v>0.197265625</v>
      </c>
      <c r="K237" s="34">
        <f t="shared" si="19"/>
        <v>0.19414062500000001</v>
      </c>
      <c r="L237" s="34">
        <f t="shared" si="19"/>
        <v>8.4765624999999997E-2</v>
      </c>
    </row>
    <row r="238" spans="6:12" x14ac:dyDescent="0.25">
      <c r="F238" s="112">
        <v>63551002</v>
      </c>
      <c r="G238" s="113" t="s">
        <v>623</v>
      </c>
      <c r="I238">
        <f t="shared" si="18"/>
        <v>2570</v>
      </c>
      <c r="J238" s="34">
        <f t="shared" si="19"/>
        <v>0.19649805447470817</v>
      </c>
      <c r="K238" s="34">
        <f t="shared" si="19"/>
        <v>0.19338521400778211</v>
      </c>
      <c r="L238" s="34">
        <f t="shared" si="19"/>
        <v>8.4435797665369655E-2</v>
      </c>
    </row>
    <row r="239" spans="6:12" x14ac:dyDescent="0.25">
      <c r="F239" s="112">
        <v>63551003</v>
      </c>
      <c r="G239" s="113" t="s">
        <v>624</v>
      </c>
      <c r="I239">
        <f t="shared" si="18"/>
        <v>2580</v>
      </c>
      <c r="J239" s="34">
        <f t="shared" si="19"/>
        <v>0.19573643410852712</v>
      </c>
      <c r="K239" s="34">
        <f t="shared" si="19"/>
        <v>0.19263565891472867</v>
      </c>
      <c r="L239" s="34">
        <f t="shared" si="19"/>
        <v>8.4108527131782948E-2</v>
      </c>
    </row>
    <row r="240" spans="6:12" x14ac:dyDescent="0.25">
      <c r="F240" s="112">
        <v>64010500</v>
      </c>
      <c r="G240" s="113" t="s">
        <v>73</v>
      </c>
      <c r="I240">
        <f t="shared" si="18"/>
        <v>2590</v>
      </c>
      <c r="J240" s="34">
        <f t="shared" si="19"/>
        <v>0.19498069498069498</v>
      </c>
      <c r="K240" s="34">
        <f t="shared" si="19"/>
        <v>0.1918918918918919</v>
      </c>
      <c r="L240" s="34">
        <f t="shared" si="19"/>
        <v>8.3783783783783788E-2</v>
      </c>
    </row>
    <row r="241" spans="6:7" x14ac:dyDescent="0.25">
      <c r="F241" s="112">
        <v>64011000</v>
      </c>
      <c r="G241" s="113" t="s">
        <v>74</v>
      </c>
    </row>
    <row r="242" spans="6:7" x14ac:dyDescent="0.25">
      <c r="F242" s="112">
        <v>64011001</v>
      </c>
      <c r="G242" s="113" t="s">
        <v>75</v>
      </c>
    </row>
    <row r="243" spans="6:7" x14ac:dyDescent="0.25">
      <c r="F243" s="112">
        <v>64011002</v>
      </c>
      <c r="G243" s="113" t="s">
        <v>625</v>
      </c>
    </row>
    <row r="244" spans="6:7" x14ac:dyDescent="0.25">
      <c r="F244" s="112">
        <v>64200500</v>
      </c>
      <c r="G244" s="113" t="s">
        <v>76</v>
      </c>
    </row>
    <row r="245" spans="6:7" x14ac:dyDescent="0.25">
      <c r="F245" s="112">
        <v>64201001</v>
      </c>
      <c r="G245" s="113" t="s">
        <v>77</v>
      </c>
    </row>
    <row r="246" spans="6:7" x14ac:dyDescent="0.25">
      <c r="F246" s="112">
        <v>64201002</v>
      </c>
      <c r="G246" s="113" t="s">
        <v>78</v>
      </c>
    </row>
    <row r="247" spans="6:7" x14ac:dyDescent="0.25">
      <c r="F247" s="112">
        <v>64201003</v>
      </c>
      <c r="G247" s="113" t="s">
        <v>79</v>
      </c>
    </row>
    <row r="248" spans="6:7" x14ac:dyDescent="0.25">
      <c r="F248" s="112">
        <v>64201004</v>
      </c>
      <c r="G248" s="113" t="s">
        <v>80</v>
      </c>
    </row>
    <row r="249" spans="6:7" x14ac:dyDescent="0.25">
      <c r="F249" s="112">
        <v>64250500</v>
      </c>
      <c r="G249" s="113" t="s">
        <v>81</v>
      </c>
    </row>
    <row r="250" spans="6:7" x14ac:dyDescent="0.25">
      <c r="F250" s="112">
        <v>64251001</v>
      </c>
      <c r="G250" s="113" t="s">
        <v>82</v>
      </c>
    </row>
    <row r="251" spans="6:7" x14ac:dyDescent="0.25">
      <c r="F251" s="112">
        <v>64251002</v>
      </c>
      <c r="G251" s="113" t="s">
        <v>83</v>
      </c>
    </row>
    <row r="252" spans="6:7" x14ac:dyDescent="0.25">
      <c r="F252" s="112">
        <v>64251003</v>
      </c>
      <c r="G252" s="113" t="s">
        <v>84</v>
      </c>
    </row>
    <row r="253" spans="6:7" x14ac:dyDescent="0.25">
      <c r="F253" s="112">
        <v>64251004</v>
      </c>
      <c r="G253" s="113" t="s">
        <v>626</v>
      </c>
    </row>
    <row r="254" spans="6:7" x14ac:dyDescent="0.25">
      <c r="F254" s="112">
        <v>64251005</v>
      </c>
      <c r="G254" s="113" t="s">
        <v>627</v>
      </c>
    </row>
    <row r="255" spans="6:7" x14ac:dyDescent="0.25">
      <c r="F255" s="112">
        <v>64251500</v>
      </c>
      <c r="G255" s="113" t="s">
        <v>85</v>
      </c>
    </row>
    <row r="256" spans="6:7" x14ac:dyDescent="0.25">
      <c r="F256" s="112">
        <v>64450500</v>
      </c>
      <c r="G256" s="113" t="s">
        <v>86</v>
      </c>
    </row>
    <row r="257" spans="6:7" x14ac:dyDescent="0.25">
      <c r="F257" s="112">
        <v>64451001</v>
      </c>
      <c r="G257" s="113" t="s">
        <v>87</v>
      </c>
    </row>
    <row r="258" spans="6:7" x14ac:dyDescent="0.25">
      <c r="F258" s="112">
        <v>64451002</v>
      </c>
      <c r="G258" s="113" t="s">
        <v>88</v>
      </c>
    </row>
    <row r="259" spans="6:7" x14ac:dyDescent="0.25">
      <c r="F259" s="112">
        <v>64451003</v>
      </c>
      <c r="G259" s="113" t="s">
        <v>89</v>
      </c>
    </row>
    <row r="260" spans="6:7" x14ac:dyDescent="0.25">
      <c r="F260" s="112">
        <v>64451004</v>
      </c>
      <c r="G260" s="113" t="s">
        <v>90</v>
      </c>
    </row>
    <row r="261" spans="6:7" x14ac:dyDescent="0.25">
      <c r="F261" s="112">
        <v>64451005</v>
      </c>
      <c r="G261" s="113" t="s">
        <v>91</v>
      </c>
    </row>
    <row r="262" spans="6:7" x14ac:dyDescent="0.25">
      <c r="F262" s="112">
        <v>64458500</v>
      </c>
      <c r="G262" s="113" t="s">
        <v>92</v>
      </c>
    </row>
    <row r="263" spans="6:7" x14ac:dyDescent="0.25">
      <c r="F263" s="112">
        <v>64800500</v>
      </c>
      <c r="G263" s="113" t="s">
        <v>93</v>
      </c>
    </row>
    <row r="264" spans="6:7" x14ac:dyDescent="0.25">
      <c r="F264" s="112">
        <v>64900500</v>
      </c>
      <c r="G264" s="113" t="s">
        <v>94</v>
      </c>
    </row>
    <row r="265" spans="6:7" x14ac:dyDescent="0.25">
      <c r="F265" s="112">
        <v>64901001</v>
      </c>
      <c r="G265" s="113" t="s">
        <v>95</v>
      </c>
    </row>
    <row r="266" spans="6:7" x14ac:dyDescent="0.25">
      <c r="F266" s="112">
        <v>64901002</v>
      </c>
      <c r="G266" s="113" t="s">
        <v>96</v>
      </c>
    </row>
    <row r="267" spans="6:7" x14ac:dyDescent="0.25">
      <c r="F267" s="112">
        <v>64901003</v>
      </c>
      <c r="G267" s="113" t="s">
        <v>97</v>
      </c>
    </row>
    <row r="268" spans="6:7" x14ac:dyDescent="0.25">
      <c r="F268" s="112">
        <v>64901004</v>
      </c>
      <c r="G268" s="113" t="s">
        <v>98</v>
      </c>
    </row>
    <row r="269" spans="6:7" x14ac:dyDescent="0.25">
      <c r="F269" s="112">
        <v>64901005</v>
      </c>
      <c r="G269" s="113" t="s">
        <v>99</v>
      </c>
    </row>
    <row r="270" spans="6:7" x14ac:dyDescent="0.25">
      <c r="F270" s="112">
        <v>64901006</v>
      </c>
      <c r="G270" s="113" t="s">
        <v>100</v>
      </c>
    </row>
    <row r="271" spans="6:7" x14ac:dyDescent="0.25">
      <c r="F271" s="112">
        <v>64901007</v>
      </c>
      <c r="G271" s="113" t="s">
        <v>101</v>
      </c>
    </row>
    <row r="272" spans="6:7" x14ac:dyDescent="0.25">
      <c r="F272" s="112">
        <v>64901008</v>
      </c>
      <c r="G272" s="113" t="s">
        <v>102</v>
      </c>
    </row>
    <row r="273" spans="6:7" x14ac:dyDescent="0.25">
      <c r="F273" s="112">
        <v>64901009</v>
      </c>
      <c r="G273" s="113" t="s">
        <v>103</v>
      </c>
    </row>
    <row r="274" spans="6:7" x14ac:dyDescent="0.25">
      <c r="F274" s="112">
        <v>64910500</v>
      </c>
      <c r="G274" s="113" t="s">
        <v>104</v>
      </c>
    </row>
    <row r="275" spans="6:7" x14ac:dyDescent="0.25">
      <c r="F275" s="112">
        <v>64911001</v>
      </c>
      <c r="G275" s="113" t="s">
        <v>105</v>
      </c>
    </row>
    <row r="276" spans="6:7" x14ac:dyDescent="0.25">
      <c r="F276" s="112">
        <v>64911002</v>
      </c>
      <c r="G276" s="113" t="s">
        <v>106</v>
      </c>
    </row>
    <row r="277" spans="6:7" x14ac:dyDescent="0.25">
      <c r="F277" s="112">
        <v>64911003</v>
      </c>
      <c r="G277" s="113" t="s">
        <v>107</v>
      </c>
    </row>
    <row r="278" spans="6:7" x14ac:dyDescent="0.25">
      <c r="F278" s="112">
        <v>64911004</v>
      </c>
      <c r="G278" s="113" t="s">
        <v>108</v>
      </c>
    </row>
    <row r="279" spans="6:7" x14ac:dyDescent="0.25">
      <c r="F279" s="112">
        <v>64911005</v>
      </c>
      <c r="G279" s="113" t="s">
        <v>109</v>
      </c>
    </row>
    <row r="280" spans="6:7" x14ac:dyDescent="0.25">
      <c r="F280" s="112">
        <v>64911006</v>
      </c>
      <c r="G280" s="113" t="s">
        <v>110</v>
      </c>
    </row>
    <row r="281" spans="6:7" x14ac:dyDescent="0.25">
      <c r="F281" s="112">
        <v>64911007</v>
      </c>
      <c r="G281" s="113" t="s">
        <v>111</v>
      </c>
    </row>
    <row r="282" spans="6:7" x14ac:dyDescent="0.25">
      <c r="F282" s="112">
        <v>64911008</v>
      </c>
      <c r="G282" s="113" t="s">
        <v>112</v>
      </c>
    </row>
    <row r="283" spans="6:7" x14ac:dyDescent="0.25">
      <c r="F283" s="112">
        <v>64911009</v>
      </c>
      <c r="G283" s="113" t="s">
        <v>113</v>
      </c>
    </row>
    <row r="284" spans="6:7" x14ac:dyDescent="0.25">
      <c r="F284" s="112">
        <v>64912000</v>
      </c>
      <c r="G284" s="113" t="s">
        <v>114</v>
      </c>
    </row>
    <row r="285" spans="6:7" x14ac:dyDescent="0.25">
      <c r="F285" s="112">
        <v>64920500</v>
      </c>
      <c r="G285" s="113" t="s">
        <v>115</v>
      </c>
    </row>
    <row r="286" spans="6:7" x14ac:dyDescent="0.25">
      <c r="F286" s="112">
        <v>64921001</v>
      </c>
      <c r="G286" s="113" t="s">
        <v>116</v>
      </c>
    </row>
    <row r="287" spans="6:7" x14ac:dyDescent="0.25">
      <c r="F287" s="112">
        <v>64921002</v>
      </c>
      <c r="G287" s="113" t="s">
        <v>628</v>
      </c>
    </row>
    <row r="288" spans="6:7" x14ac:dyDescent="0.25">
      <c r="F288" s="112">
        <v>64921003</v>
      </c>
      <c r="G288" s="113" t="s">
        <v>117</v>
      </c>
    </row>
    <row r="289" spans="6:7" x14ac:dyDescent="0.25">
      <c r="F289" s="112">
        <v>64921004</v>
      </c>
      <c r="G289" s="113" t="s">
        <v>118</v>
      </c>
    </row>
    <row r="290" spans="6:7" x14ac:dyDescent="0.25">
      <c r="F290" s="112">
        <v>64921005</v>
      </c>
      <c r="G290" s="113" t="s">
        <v>119</v>
      </c>
    </row>
    <row r="291" spans="6:7" x14ac:dyDescent="0.25">
      <c r="F291" s="112">
        <v>64921006</v>
      </c>
      <c r="G291" s="113" t="s">
        <v>120</v>
      </c>
    </row>
    <row r="292" spans="6:7" x14ac:dyDescent="0.25">
      <c r="F292" s="112">
        <v>64921007</v>
      </c>
      <c r="G292" s="113" t="s">
        <v>121</v>
      </c>
    </row>
    <row r="293" spans="6:7" x14ac:dyDescent="0.25">
      <c r="F293" s="112">
        <v>64921008</v>
      </c>
      <c r="G293" s="113" t="s">
        <v>122</v>
      </c>
    </row>
    <row r="294" spans="6:7" x14ac:dyDescent="0.25">
      <c r="F294" s="112">
        <v>64921009</v>
      </c>
      <c r="G294" s="113" t="s">
        <v>123</v>
      </c>
    </row>
    <row r="295" spans="6:7" x14ac:dyDescent="0.25">
      <c r="F295" s="112">
        <v>64921010</v>
      </c>
      <c r="G295" s="113" t="s">
        <v>124</v>
      </c>
    </row>
    <row r="296" spans="6:7" x14ac:dyDescent="0.25">
      <c r="F296" s="112">
        <v>64921501</v>
      </c>
      <c r="G296" s="113" t="s">
        <v>125</v>
      </c>
    </row>
    <row r="297" spans="6:7" x14ac:dyDescent="0.25">
      <c r="F297" s="112">
        <v>64922001</v>
      </c>
      <c r="G297" s="113" t="s">
        <v>126</v>
      </c>
    </row>
    <row r="298" spans="6:7" x14ac:dyDescent="0.25">
      <c r="F298" s="112">
        <v>64930500</v>
      </c>
      <c r="G298" s="113" t="s">
        <v>127</v>
      </c>
    </row>
    <row r="299" spans="6:7" x14ac:dyDescent="0.25">
      <c r="F299" s="112">
        <v>64931000</v>
      </c>
      <c r="G299" s="113" t="s">
        <v>128</v>
      </c>
    </row>
    <row r="300" spans="6:7" x14ac:dyDescent="0.25">
      <c r="F300" s="112">
        <v>64931001</v>
      </c>
      <c r="G300" s="113" t="s">
        <v>129</v>
      </c>
    </row>
    <row r="301" spans="6:7" x14ac:dyDescent="0.25">
      <c r="F301" s="112">
        <v>64931002</v>
      </c>
      <c r="G301" s="113" t="s">
        <v>130</v>
      </c>
    </row>
    <row r="302" spans="6:7" x14ac:dyDescent="0.25">
      <c r="F302" s="112">
        <v>64931003</v>
      </c>
      <c r="G302" s="113" t="s">
        <v>131</v>
      </c>
    </row>
    <row r="303" spans="6:7" x14ac:dyDescent="0.25">
      <c r="F303" s="112">
        <v>64931004</v>
      </c>
      <c r="G303" s="113" t="s">
        <v>132</v>
      </c>
    </row>
    <row r="304" spans="6:7" x14ac:dyDescent="0.25">
      <c r="F304" s="112">
        <v>64931005</v>
      </c>
      <c r="G304" s="113" t="s">
        <v>133</v>
      </c>
    </row>
    <row r="305" spans="6:7" x14ac:dyDescent="0.25">
      <c r="F305" s="112">
        <v>64931006</v>
      </c>
      <c r="G305" s="113" t="s">
        <v>629</v>
      </c>
    </row>
    <row r="306" spans="6:7" x14ac:dyDescent="0.25">
      <c r="F306" s="112">
        <v>64931007</v>
      </c>
      <c r="G306" s="113" t="s">
        <v>630</v>
      </c>
    </row>
    <row r="307" spans="6:7" x14ac:dyDescent="0.25">
      <c r="F307" s="112">
        <v>64931500</v>
      </c>
      <c r="G307" s="113" t="s">
        <v>134</v>
      </c>
    </row>
    <row r="308" spans="6:7" x14ac:dyDescent="0.25">
      <c r="F308" s="112">
        <v>64932000</v>
      </c>
      <c r="G308" s="113" t="s">
        <v>135</v>
      </c>
    </row>
    <row r="309" spans="6:7" x14ac:dyDescent="0.25">
      <c r="F309" s="112">
        <v>64932001</v>
      </c>
      <c r="G309" s="113" t="s">
        <v>136</v>
      </c>
    </row>
    <row r="310" spans="6:7" x14ac:dyDescent="0.25">
      <c r="F310" s="112">
        <v>64932500</v>
      </c>
      <c r="G310" s="113" t="s">
        <v>137</v>
      </c>
    </row>
    <row r="311" spans="6:7" x14ac:dyDescent="0.25">
      <c r="F311" s="112">
        <v>64933000</v>
      </c>
      <c r="G311" s="113" t="s">
        <v>138</v>
      </c>
    </row>
    <row r="312" spans="6:7" x14ac:dyDescent="0.25">
      <c r="F312" s="112">
        <v>64933001</v>
      </c>
      <c r="G312" s="113" t="s">
        <v>139</v>
      </c>
    </row>
    <row r="313" spans="6:7" x14ac:dyDescent="0.25">
      <c r="F313" s="112">
        <v>64933002</v>
      </c>
      <c r="G313" s="113" t="s">
        <v>140</v>
      </c>
    </row>
    <row r="314" spans="6:7" x14ac:dyDescent="0.25">
      <c r="F314" s="112">
        <v>64933003</v>
      </c>
      <c r="G314" s="113" t="s">
        <v>141</v>
      </c>
    </row>
    <row r="315" spans="6:7" x14ac:dyDescent="0.25">
      <c r="F315" s="112">
        <v>64940500</v>
      </c>
      <c r="G315" s="113" t="s">
        <v>142</v>
      </c>
    </row>
    <row r="316" spans="6:7" x14ac:dyDescent="0.25">
      <c r="F316" s="112">
        <v>64941001</v>
      </c>
      <c r="G316" s="113" t="s">
        <v>143</v>
      </c>
    </row>
    <row r="317" spans="6:7" x14ac:dyDescent="0.25">
      <c r="F317" s="112">
        <v>64941002</v>
      </c>
      <c r="G317" s="113" t="s">
        <v>144</v>
      </c>
    </row>
    <row r="318" spans="6:7" x14ac:dyDescent="0.25">
      <c r="F318" s="112">
        <v>65100005</v>
      </c>
      <c r="G318" s="113" t="s">
        <v>145</v>
      </c>
    </row>
    <row r="319" spans="6:7" x14ac:dyDescent="0.25">
      <c r="F319" s="112">
        <v>65100006</v>
      </c>
      <c r="G319" s="113" t="s">
        <v>146</v>
      </c>
    </row>
    <row r="320" spans="6:7" x14ac:dyDescent="0.25">
      <c r="F320" s="112">
        <v>65100007</v>
      </c>
      <c r="G320" s="113" t="s">
        <v>147</v>
      </c>
    </row>
    <row r="321" spans="6:7" x14ac:dyDescent="0.25">
      <c r="F321" s="112">
        <v>65100008</v>
      </c>
      <c r="G321" s="113" t="s">
        <v>148</v>
      </c>
    </row>
    <row r="322" spans="6:7" x14ac:dyDescent="0.25">
      <c r="F322" s="112">
        <v>65100010</v>
      </c>
      <c r="G322" s="113" t="s">
        <v>149</v>
      </c>
    </row>
    <row r="323" spans="6:7" x14ac:dyDescent="0.25">
      <c r="F323" s="112">
        <v>65100011</v>
      </c>
      <c r="G323" s="113" t="s">
        <v>150</v>
      </c>
    </row>
    <row r="324" spans="6:7" x14ac:dyDescent="0.25">
      <c r="F324" s="112">
        <v>65100012</v>
      </c>
      <c r="G324" s="113" t="s">
        <v>151</v>
      </c>
    </row>
    <row r="325" spans="6:7" x14ac:dyDescent="0.25">
      <c r="F325" s="112">
        <v>65101001</v>
      </c>
      <c r="G325" s="113" t="s">
        <v>152</v>
      </c>
    </row>
    <row r="326" spans="6:7" x14ac:dyDescent="0.25">
      <c r="F326" s="112">
        <v>65101002</v>
      </c>
      <c r="G326" s="113" t="s">
        <v>153</v>
      </c>
    </row>
    <row r="327" spans="6:7" x14ac:dyDescent="0.25">
      <c r="F327" s="112">
        <v>65151000</v>
      </c>
      <c r="G327" s="113" t="s">
        <v>154</v>
      </c>
    </row>
    <row r="328" spans="6:7" x14ac:dyDescent="0.25">
      <c r="F328" s="112">
        <v>65152000</v>
      </c>
      <c r="G328" s="113" t="s">
        <v>155</v>
      </c>
    </row>
    <row r="329" spans="6:7" x14ac:dyDescent="0.25">
      <c r="F329" s="112">
        <v>65153000</v>
      </c>
      <c r="G329" s="113" t="s">
        <v>156</v>
      </c>
    </row>
    <row r="330" spans="6:7" x14ac:dyDescent="0.25">
      <c r="F330" s="112">
        <v>65154000</v>
      </c>
      <c r="G330" s="113" t="s">
        <v>157</v>
      </c>
    </row>
    <row r="331" spans="6:7" x14ac:dyDescent="0.25">
      <c r="F331" s="112">
        <v>65155000</v>
      </c>
      <c r="G331" s="113" t="s">
        <v>158</v>
      </c>
    </row>
    <row r="332" spans="6:7" x14ac:dyDescent="0.25">
      <c r="F332" s="112">
        <v>65156000</v>
      </c>
      <c r="G332" s="113" t="s">
        <v>159</v>
      </c>
    </row>
    <row r="333" spans="6:7" x14ac:dyDescent="0.25">
      <c r="F333" s="112">
        <v>65157000</v>
      </c>
      <c r="G333" s="113" t="s">
        <v>160</v>
      </c>
    </row>
    <row r="334" spans="6:7" x14ac:dyDescent="0.25">
      <c r="F334" s="112">
        <v>65157010</v>
      </c>
      <c r="G334" s="113" t="s">
        <v>161</v>
      </c>
    </row>
    <row r="335" spans="6:7" x14ac:dyDescent="0.25">
      <c r="F335" s="112">
        <v>65157020</v>
      </c>
      <c r="G335" s="113" t="s">
        <v>162</v>
      </c>
    </row>
    <row r="336" spans="6:7" x14ac:dyDescent="0.25">
      <c r="F336" s="112">
        <v>65157030</v>
      </c>
      <c r="G336" s="113" t="s">
        <v>163</v>
      </c>
    </row>
    <row r="337" spans="6:7" x14ac:dyDescent="0.25">
      <c r="F337" s="112">
        <v>65201000</v>
      </c>
      <c r="G337" s="113" t="s">
        <v>164</v>
      </c>
    </row>
    <row r="338" spans="6:7" x14ac:dyDescent="0.25">
      <c r="F338" s="112">
        <v>65202000</v>
      </c>
      <c r="G338" s="113" t="s">
        <v>631</v>
      </c>
    </row>
    <row r="339" spans="6:7" x14ac:dyDescent="0.25">
      <c r="F339" s="112">
        <v>65202001</v>
      </c>
      <c r="G339" s="113" t="s">
        <v>632</v>
      </c>
    </row>
    <row r="340" spans="6:7" x14ac:dyDescent="0.25">
      <c r="F340" s="112">
        <v>65202002</v>
      </c>
      <c r="G340" s="113" t="s">
        <v>633</v>
      </c>
    </row>
    <row r="341" spans="6:7" x14ac:dyDescent="0.25">
      <c r="F341" s="112">
        <v>65202003</v>
      </c>
      <c r="G341" s="113" t="s">
        <v>634</v>
      </c>
    </row>
    <row r="342" spans="6:7" x14ac:dyDescent="0.25">
      <c r="F342" s="112">
        <v>65202004</v>
      </c>
      <c r="G342" s="113" t="s">
        <v>635</v>
      </c>
    </row>
    <row r="343" spans="6:7" x14ac:dyDescent="0.25">
      <c r="F343" s="112">
        <v>65251000</v>
      </c>
      <c r="G343" s="113" t="s">
        <v>165</v>
      </c>
    </row>
    <row r="344" spans="6:7" x14ac:dyDescent="0.25">
      <c r="F344" s="112">
        <v>65252000</v>
      </c>
      <c r="G344" s="113" t="s">
        <v>166</v>
      </c>
    </row>
    <row r="345" spans="6:7" x14ac:dyDescent="0.25">
      <c r="F345" s="112">
        <v>65252500</v>
      </c>
      <c r="G345" s="113" t="s">
        <v>167</v>
      </c>
    </row>
    <row r="346" spans="6:7" x14ac:dyDescent="0.25">
      <c r="F346" s="112">
        <v>65253001</v>
      </c>
      <c r="G346" s="113" t="s">
        <v>168</v>
      </c>
    </row>
    <row r="347" spans="6:7" x14ac:dyDescent="0.25">
      <c r="F347" s="112">
        <v>65253002</v>
      </c>
      <c r="G347" s="113" t="s">
        <v>169</v>
      </c>
    </row>
    <row r="348" spans="6:7" x14ac:dyDescent="0.25">
      <c r="F348" s="112">
        <v>65253003</v>
      </c>
      <c r="G348" s="113" t="s">
        <v>170</v>
      </c>
    </row>
    <row r="349" spans="6:7" x14ac:dyDescent="0.25">
      <c r="F349" s="112">
        <v>65301000</v>
      </c>
      <c r="G349" s="113" t="s">
        <v>171</v>
      </c>
    </row>
    <row r="350" spans="6:7" x14ac:dyDescent="0.25">
      <c r="F350" s="112">
        <v>65301001</v>
      </c>
      <c r="G350" s="113" t="s">
        <v>636</v>
      </c>
    </row>
    <row r="351" spans="6:7" x14ac:dyDescent="0.25">
      <c r="F351" s="112">
        <v>65301002</v>
      </c>
      <c r="G351" s="113" t="s">
        <v>637</v>
      </c>
    </row>
    <row r="352" spans="6:7" x14ac:dyDescent="0.25">
      <c r="F352" s="112">
        <v>65302001</v>
      </c>
      <c r="G352" s="113" t="s">
        <v>172</v>
      </c>
    </row>
    <row r="353" spans="6:7" x14ac:dyDescent="0.25">
      <c r="F353" s="112">
        <v>65302002</v>
      </c>
      <c r="G353" s="113" t="s">
        <v>173</v>
      </c>
    </row>
    <row r="354" spans="6:7" x14ac:dyDescent="0.25">
      <c r="F354" s="112">
        <v>65302003</v>
      </c>
      <c r="G354" s="113" t="s">
        <v>174</v>
      </c>
    </row>
    <row r="355" spans="6:7" x14ac:dyDescent="0.25">
      <c r="F355" s="112">
        <v>65303000</v>
      </c>
      <c r="G355" s="113" t="s">
        <v>175</v>
      </c>
    </row>
    <row r="356" spans="6:7" x14ac:dyDescent="0.25">
      <c r="F356" s="112">
        <v>65304000</v>
      </c>
      <c r="G356" s="113" t="s">
        <v>176</v>
      </c>
    </row>
    <row r="357" spans="6:7" x14ac:dyDescent="0.25">
      <c r="F357" s="112">
        <v>65305000</v>
      </c>
      <c r="G357" s="113" t="s">
        <v>638</v>
      </c>
    </row>
    <row r="358" spans="6:7" x14ac:dyDescent="0.25">
      <c r="F358" s="112">
        <v>65351000</v>
      </c>
      <c r="G358" s="113" t="s">
        <v>177</v>
      </c>
    </row>
    <row r="359" spans="6:7" x14ac:dyDescent="0.25">
      <c r="F359" s="112">
        <v>65352000</v>
      </c>
      <c r="G359" s="113" t="s">
        <v>178</v>
      </c>
    </row>
    <row r="360" spans="6:7" x14ac:dyDescent="0.25">
      <c r="F360" s="112">
        <v>65353000</v>
      </c>
      <c r="G360" s="113" t="s">
        <v>179</v>
      </c>
    </row>
    <row r="361" spans="6:7" x14ac:dyDescent="0.25">
      <c r="F361" s="112">
        <v>65601000</v>
      </c>
      <c r="G361" s="113" t="s">
        <v>180</v>
      </c>
    </row>
    <row r="362" spans="6:7" x14ac:dyDescent="0.25">
      <c r="F362" s="112">
        <v>65601001</v>
      </c>
      <c r="G362" s="113" t="s">
        <v>181</v>
      </c>
    </row>
    <row r="363" spans="6:7" x14ac:dyDescent="0.25">
      <c r="F363" s="112">
        <v>65602001</v>
      </c>
      <c r="G363" s="113" t="s">
        <v>182</v>
      </c>
    </row>
    <row r="364" spans="6:7" x14ac:dyDescent="0.25">
      <c r="F364" s="112">
        <v>65602002</v>
      </c>
      <c r="G364" s="113" t="s">
        <v>183</v>
      </c>
    </row>
    <row r="365" spans="6:7" x14ac:dyDescent="0.25">
      <c r="F365" s="112">
        <v>65602003</v>
      </c>
      <c r="G365" s="113" t="s">
        <v>184</v>
      </c>
    </row>
    <row r="366" spans="6:7" x14ac:dyDescent="0.25">
      <c r="F366" s="112">
        <v>65602004</v>
      </c>
      <c r="G366" s="113" t="s">
        <v>185</v>
      </c>
    </row>
    <row r="367" spans="6:7" x14ac:dyDescent="0.25">
      <c r="F367" s="112">
        <v>65602005</v>
      </c>
      <c r="G367" s="113" t="s">
        <v>186</v>
      </c>
    </row>
    <row r="368" spans="6:7" x14ac:dyDescent="0.25">
      <c r="F368" s="112">
        <v>65602006</v>
      </c>
      <c r="G368" s="113" t="s">
        <v>187</v>
      </c>
    </row>
    <row r="369" spans="6:7" x14ac:dyDescent="0.25">
      <c r="F369" s="112">
        <v>65602007</v>
      </c>
      <c r="G369" s="113" t="s">
        <v>188</v>
      </c>
    </row>
    <row r="370" spans="6:7" x14ac:dyDescent="0.25">
      <c r="F370" s="112">
        <v>65602008</v>
      </c>
      <c r="G370" s="113" t="s">
        <v>189</v>
      </c>
    </row>
    <row r="371" spans="6:7" x14ac:dyDescent="0.25">
      <c r="F371" s="112">
        <v>65602009</v>
      </c>
      <c r="G371" s="113" t="s">
        <v>190</v>
      </c>
    </row>
    <row r="372" spans="6:7" x14ac:dyDescent="0.25">
      <c r="F372" s="112">
        <v>65602010</v>
      </c>
      <c r="G372" s="113" t="s">
        <v>191</v>
      </c>
    </row>
    <row r="373" spans="6:7" x14ac:dyDescent="0.25">
      <c r="F373" s="112">
        <v>65602011</v>
      </c>
      <c r="G373" s="113" t="s">
        <v>192</v>
      </c>
    </row>
    <row r="374" spans="6:7" x14ac:dyDescent="0.25">
      <c r="F374" s="112">
        <v>65602012</v>
      </c>
      <c r="G374" s="113" t="s">
        <v>639</v>
      </c>
    </row>
    <row r="375" spans="6:7" x14ac:dyDescent="0.25">
      <c r="F375" s="112">
        <v>65602013</v>
      </c>
      <c r="G375" s="113" t="s">
        <v>640</v>
      </c>
    </row>
    <row r="376" spans="6:7" x14ac:dyDescent="0.25">
      <c r="F376" s="112">
        <v>65701000</v>
      </c>
      <c r="G376" s="113" t="s">
        <v>193</v>
      </c>
    </row>
    <row r="377" spans="6:7" x14ac:dyDescent="0.25">
      <c r="F377" s="112">
        <v>65702000</v>
      </c>
      <c r="G377" s="113" t="s">
        <v>194</v>
      </c>
    </row>
    <row r="378" spans="6:7" x14ac:dyDescent="0.25">
      <c r="F378" s="112">
        <v>65801000</v>
      </c>
      <c r="G378" s="113" t="s">
        <v>195</v>
      </c>
    </row>
    <row r="379" spans="6:7" x14ac:dyDescent="0.25">
      <c r="F379" s="112">
        <v>65801001</v>
      </c>
      <c r="G379" s="113" t="s">
        <v>196</v>
      </c>
    </row>
    <row r="380" spans="6:7" x14ac:dyDescent="0.25">
      <c r="F380" s="112">
        <v>66010501</v>
      </c>
      <c r="G380" s="113" t="s">
        <v>197</v>
      </c>
    </row>
    <row r="381" spans="6:7" x14ac:dyDescent="0.25">
      <c r="F381" s="112">
        <v>66010502</v>
      </c>
      <c r="G381" s="113" t="s">
        <v>198</v>
      </c>
    </row>
    <row r="382" spans="6:7" x14ac:dyDescent="0.25">
      <c r="F382" s="112">
        <v>66010503</v>
      </c>
      <c r="G382" s="113" t="s">
        <v>199</v>
      </c>
    </row>
    <row r="383" spans="6:7" x14ac:dyDescent="0.25">
      <c r="F383" s="112">
        <v>66010504</v>
      </c>
      <c r="G383" s="113" t="s">
        <v>200</v>
      </c>
    </row>
    <row r="384" spans="6:7" x14ac:dyDescent="0.25">
      <c r="F384" s="112">
        <v>66010505</v>
      </c>
      <c r="G384" s="113" t="s">
        <v>201</v>
      </c>
    </row>
    <row r="385" spans="6:7" x14ac:dyDescent="0.25">
      <c r="F385" s="112">
        <v>66010506</v>
      </c>
      <c r="G385" s="113" t="s">
        <v>202</v>
      </c>
    </row>
    <row r="386" spans="6:7" x14ac:dyDescent="0.25">
      <c r="F386" s="112">
        <v>66011001</v>
      </c>
      <c r="G386" s="113" t="s">
        <v>203</v>
      </c>
    </row>
    <row r="387" spans="6:7" x14ac:dyDescent="0.25">
      <c r="F387" s="112">
        <v>66011002</v>
      </c>
      <c r="G387" s="113" t="s">
        <v>641</v>
      </c>
    </row>
    <row r="388" spans="6:7" x14ac:dyDescent="0.25">
      <c r="F388" s="112">
        <v>66011003</v>
      </c>
      <c r="G388" s="113" t="s">
        <v>204</v>
      </c>
    </row>
    <row r="389" spans="6:7" x14ac:dyDescent="0.25">
      <c r="F389" s="112">
        <v>66011004</v>
      </c>
      <c r="G389" s="113" t="s">
        <v>205</v>
      </c>
    </row>
    <row r="390" spans="6:7" x14ac:dyDescent="0.25">
      <c r="F390" s="112">
        <v>66011005</v>
      </c>
      <c r="G390" s="113" t="s">
        <v>206</v>
      </c>
    </row>
    <row r="391" spans="6:7" x14ac:dyDescent="0.25">
      <c r="F391" s="112">
        <v>66011006</v>
      </c>
      <c r="G391" s="113" t="s">
        <v>207</v>
      </c>
    </row>
    <row r="392" spans="6:7" x14ac:dyDescent="0.25">
      <c r="F392" s="112">
        <v>66011501</v>
      </c>
      <c r="G392" s="113" t="s">
        <v>208</v>
      </c>
    </row>
    <row r="393" spans="6:7" x14ac:dyDescent="0.25">
      <c r="F393" s="112">
        <v>66011502</v>
      </c>
      <c r="G393" s="113" t="s">
        <v>209</v>
      </c>
    </row>
    <row r="394" spans="6:7" x14ac:dyDescent="0.25">
      <c r="F394" s="112">
        <v>66011503</v>
      </c>
      <c r="G394" s="113" t="s">
        <v>210</v>
      </c>
    </row>
    <row r="395" spans="6:7" x14ac:dyDescent="0.25">
      <c r="F395" s="112">
        <v>66012001</v>
      </c>
      <c r="G395" s="113" t="s">
        <v>642</v>
      </c>
    </row>
    <row r="396" spans="6:7" x14ac:dyDescent="0.25">
      <c r="F396" s="112">
        <v>66100501</v>
      </c>
      <c r="G396" s="113" t="s">
        <v>643</v>
      </c>
    </row>
    <row r="397" spans="6:7" x14ac:dyDescent="0.25">
      <c r="F397" s="112">
        <v>66101001</v>
      </c>
      <c r="G397" s="113" t="s">
        <v>211</v>
      </c>
    </row>
    <row r="398" spans="6:7" x14ac:dyDescent="0.25">
      <c r="F398" s="112">
        <v>66101002</v>
      </c>
      <c r="G398" s="113" t="s">
        <v>212</v>
      </c>
    </row>
    <row r="399" spans="6:7" x14ac:dyDescent="0.25">
      <c r="F399" s="112">
        <v>66101003</v>
      </c>
      <c r="G399" s="113" t="s">
        <v>213</v>
      </c>
    </row>
    <row r="400" spans="6:7" x14ac:dyDescent="0.25">
      <c r="F400" s="112">
        <v>66101501</v>
      </c>
      <c r="G400" s="113" t="s">
        <v>214</v>
      </c>
    </row>
    <row r="401" spans="6:7" x14ac:dyDescent="0.25">
      <c r="F401" s="112">
        <v>66150501</v>
      </c>
      <c r="G401" s="113" t="s">
        <v>215</v>
      </c>
    </row>
    <row r="402" spans="6:7" x14ac:dyDescent="0.25">
      <c r="F402" s="112">
        <v>66151001</v>
      </c>
      <c r="G402" s="113" t="s">
        <v>216</v>
      </c>
    </row>
    <row r="403" spans="6:7" x14ac:dyDescent="0.25">
      <c r="F403" s="112">
        <v>66151002</v>
      </c>
      <c r="G403" s="113" t="s">
        <v>217</v>
      </c>
    </row>
    <row r="404" spans="6:7" x14ac:dyDescent="0.25">
      <c r="F404" s="112">
        <v>66151003</v>
      </c>
      <c r="G404" s="113" t="s">
        <v>218</v>
      </c>
    </row>
    <row r="405" spans="6:7" x14ac:dyDescent="0.25">
      <c r="F405" s="112">
        <v>66151004</v>
      </c>
      <c r="G405" s="113" t="s">
        <v>219</v>
      </c>
    </row>
    <row r="406" spans="6:7" x14ac:dyDescent="0.25">
      <c r="F406" s="112">
        <v>66151005</v>
      </c>
      <c r="G406" s="113" t="s">
        <v>220</v>
      </c>
    </row>
    <row r="407" spans="6:7" x14ac:dyDescent="0.25">
      <c r="F407" s="112">
        <v>66200501</v>
      </c>
      <c r="G407" s="113" t="s">
        <v>221</v>
      </c>
    </row>
    <row r="408" spans="6:7" x14ac:dyDescent="0.25">
      <c r="F408" s="112">
        <v>66200502</v>
      </c>
      <c r="G408" s="113" t="s">
        <v>222</v>
      </c>
    </row>
    <row r="409" spans="6:7" x14ac:dyDescent="0.25">
      <c r="F409" s="112">
        <v>66200503</v>
      </c>
      <c r="G409" s="113" t="s">
        <v>223</v>
      </c>
    </row>
    <row r="410" spans="6:7" x14ac:dyDescent="0.25">
      <c r="F410" s="112">
        <v>66201001</v>
      </c>
      <c r="G410" s="113" t="s">
        <v>224</v>
      </c>
    </row>
    <row r="411" spans="6:7" x14ac:dyDescent="0.25">
      <c r="F411" s="112">
        <v>66201002</v>
      </c>
      <c r="G411" s="113" t="s">
        <v>225</v>
      </c>
    </row>
    <row r="412" spans="6:7" x14ac:dyDescent="0.25">
      <c r="F412" s="112">
        <v>66201003</v>
      </c>
      <c r="G412" s="113" t="s">
        <v>226</v>
      </c>
    </row>
    <row r="413" spans="6:7" x14ac:dyDescent="0.25">
      <c r="F413" s="112">
        <v>66201004</v>
      </c>
      <c r="G413" s="113" t="s">
        <v>227</v>
      </c>
    </row>
    <row r="414" spans="6:7" x14ac:dyDescent="0.25">
      <c r="F414" s="112">
        <v>66201005</v>
      </c>
      <c r="G414" s="113" t="s">
        <v>228</v>
      </c>
    </row>
    <row r="415" spans="6:7" x14ac:dyDescent="0.25">
      <c r="F415" s="112">
        <v>66201006</v>
      </c>
      <c r="G415" s="113" t="s">
        <v>229</v>
      </c>
    </row>
    <row r="416" spans="6:7" x14ac:dyDescent="0.25">
      <c r="F416" s="112">
        <v>66201007</v>
      </c>
      <c r="G416" s="113" t="s">
        <v>230</v>
      </c>
    </row>
    <row r="417" spans="6:7" x14ac:dyDescent="0.25">
      <c r="F417" s="112">
        <v>66201008</v>
      </c>
      <c r="G417" s="113" t="s">
        <v>231</v>
      </c>
    </row>
    <row r="418" spans="6:7" x14ac:dyDescent="0.25">
      <c r="F418" s="112">
        <v>66201009</v>
      </c>
      <c r="G418" s="113" t="s">
        <v>232</v>
      </c>
    </row>
    <row r="419" spans="6:7" x14ac:dyDescent="0.25">
      <c r="F419" s="112">
        <v>66201010</v>
      </c>
      <c r="G419" s="113" t="s">
        <v>233</v>
      </c>
    </row>
    <row r="420" spans="6:7" x14ac:dyDescent="0.25">
      <c r="F420" s="112">
        <v>66201501</v>
      </c>
      <c r="G420" s="113" t="s">
        <v>234</v>
      </c>
    </row>
    <row r="421" spans="6:7" x14ac:dyDescent="0.25">
      <c r="F421" s="112">
        <v>66201502</v>
      </c>
      <c r="G421" s="113" t="s">
        <v>235</v>
      </c>
    </row>
    <row r="422" spans="6:7" x14ac:dyDescent="0.25">
      <c r="F422" s="112">
        <v>66250501</v>
      </c>
      <c r="G422" s="113" t="s">
        <v>236</v>
      </c>
    </row>
    <row r="423" spans="6:7" x14ac:dyDescent="0.25">
      <c r="F423" s="112">
        <v>66251001</v>
      </c>
      <c r="G423" s="113" t="s">
        <v>237</v>
      </c>
    </row>
    <row r="424" spans="6:7" x14ac:dyDescent="0.25">
      <c r="F424" s="112">
        <v>66251002</v>
      </c>
      <c r="G424" s="113" t="s">
        <v>238</v>
      </c>
    </row>
    <row r="425" spans="6:7" x14ac:dyDescent="0.25">
      <c r="F425" s="112">
        <v>66251003</v>
      </c>
      <c r="G425" s="113" t="s">
        <v>239</v>
      </c>
    </row>
    <row r="426" spans="6:7" x14ac:dyDescent="0.25">
      <c r="F426" s="112">
        <v>66251004</v>
      </c>
      <c r="G426" s="113" t="s">
        <v>240</v>
      </c>
    </row>
    <row r="427" spans="6:7" x14ac:dyDescent="0.25">
      <c r="F427" s="112">
        <v>66251005</v>
      </c>
      <c r="G427" s="113" t="s">
        <v>644</v>
      </c>
    </row>
    <row r="428" spans="6:7" x14ac:dyDescent="0.25">
      <c r="F428" s="112">
        <v>66251006</v>
      </c>
      <c r="G428" s="113" t="s">
        <v>645</v>
      </c>
    </row>
    <row r="429" spans="6:7" x14ac:dyDescent="0.25">
      <c r="F429" s="112">
        <v>66251007</v>
      </c>
      <c r="G429" s="113" t="s">
        <v>646</v>
      </c>
    </row>
    <row r="430" spans="6:7" x14ac:dyDescent="0.25">
      <c r="F430" s="112">
        <v>66251008</v>
      </c>
      <c r="G430" s="113" t="s">
        <v>647</v>
      </c>
    </row>
    <row r="431" spans="6:7" x14ac:dyDescent="0.25">
      <c r="F431" s="112">
        <v>66300501</v>
      </c>
      <c r="G431" s="113" t="s">
        <v>241</v>
      </c>
    </row>
    <row r="432" spans="6:7" x14ac:dyDescent="0.25">
      <c r="F432" s="112">
        <v>66301001</v>
      </c>
      <c r="G432" s="113" t="s">
        <v>242</v>
      </c>
    </row>
    <row r="433" spans="6:7" x14ac:dyDescent="0.25">
      <c r="F433" s="112">
        <v>66301002</v>
      </c>
      <c r="G433" s="113" t="s">
        <v>243</v>
      </c>
    </row>
    <row r="434" spans="6:7" x14ac:dyDescent="0.25">
      <c r="F434" s="112">
        <v>66301003</v>
      </c>
      <c r="G434" s="113" t="s">
        <v>244</v>
      </c>
    </row>
    <row r="435" spans="6:7" x14ac:dyDescent="0.25">
      <c r="F435" s="112">
        <v>66301004</v>
      </c>
      <c r="G435" s="113" t="s">
        <v>245</v>
      </c>
    </row>
    <row r="436" spans="6:7" x14ac:dyDescent="0.25">
      <c r="F436" s="112">
        <v>66301005</v>
      </c>
      <c r="G436" s="113" t="s">
        <v>246</v>
      </c>
    </row>
    <row r="437" spans="6:7" x14ac:dyDescent="0.25">
      <c r="F437" s="112">
        <v>66301006</v>
      </c>
      <c r="G437" s="113" t="s">
        <v>247</v>
      </c>
    </row>
    <row r="438" spans="6:7" x14ac:dyDescent="0.25">
      <c r="F438" s="112">
        <v>66301007</v>
      </c>
      <c r="G438" s="113" t="s">
        <v>248</v>
      </c>
    </row>
    <row r="439" spans="6:7" x14ac:dyDescent="0.25">
      <c r="F439" s="112">
        <v>66301008</v>
      </c>
      <c r="G439" s="113" t="s">
        <v>249</v>
      </c>
    </row>
    <row r="440" spans="6:7" x14ac:dyDescent="0.25">
      <c r="F440" s="112">
        <v>66301009</v>
      </c>
      <c r="G440" s="113" t="s">
        <v>648</v>
      </c>
    </row>
    <row r="441" spans="6:7" x14ac:dyDescent="0.25">
      <c r="F441" s="112">
        <v>66301501</v>
      </c>
      <c r="G441" s="113" t="s">
        <v>250</v>
      </c>
    </row>
    <row r="442" spans="6:7" x14ac:dyDescent="0.25">
      <c r="F442" s="112">
        <v>66301502</v>
      </c>
      <c r="G442" s="113" t="s">
        <v>251</v>
      </c>
    </row>
    <row r="443" spans="6:7" x14ac:dyDescent="0.25">
      <c r="F443" s="112">
        <v>66350501</v>
      </c>
      <c r="G443" s="113" t="s">
        <v>252</v>
      </c>
    </row>
    <row r="444" spans="6:7" x14ac:dyDescent="0.25">
      <c r="F444" s="112">
        <v>66351001</v>
      </c>
      <c r="G444" s="113" t="s">
        <v>253</v>
      </c>
    </row>
    <row r="445" spans="6:7" x14ac:dyDescent="0.25">
      <c r="F445" s="112">
        <v>66351002</v>
      </c>
      <c r="G445" s="113" t="s">
        <v>254</v>
      </c>
    </row>
    <row r="446" spans="6:7" x14ac:dyDescent="0.25">
      <c r="F446" s="112">
        <v>66351003</v>
      </c>
      <c r="G446" s="113" t="s">
        <v>255</v>
      </c>
    </row>
    <row r="447" spans="6:7" x14ac:dyDescent="0.25">
      <c r="F447" s="112">
        <v>66351004</v>
      </c>
      <c r="G447" s="113" t="s">
        <v>256</v>
      </c>
    </row>
    <row r="448" spans="6:7" x14ac:dyDescent="0.25">
      <c r="F448" s="112">
        <v>66351005</v>
      </c>
      <c r="G448" s="113" t="s">
        <v>257</v>
      </c>
    </row>
    <row r="449" spans="6:7" x14ac:dyDescent="0.25">
      <c r="F449" s="112">
        <v>66351006</v>
      </c>
      <c r="G449" s="113" t="s">
        <v>258</v>
      </c>
    </row>
    <row r="450" spans="6:7" x14ac:dyDescent="0.25">
      <c r="F450" s="112">
        <v>66351007</v>
      </c>
      <c r="G450" s="113" t="s">
        <v>259</v>
      </c>
    </row>
    <row r="451" spans="6:7" x14ac:dyDescent="0.25">
      <c r="F451" s="112">
        <v>66351008</v>
      </c>
      <c r="G451" s="113" t="s">
        <v>260</v>
      </c>
    </row>
    <row r="452" spans="6:7" x14ac:dyDescent="0.25">
      <c r="F452" s="112">
        <v>66351009</v>
      </c>
      <c r="G452" s="113" t="s">
        <v>261</v>
      </c>
    </row>
    <row r="453" spans="6:7" x14ac:dyDescent="0.25">
      <c r="F453" s="112">
        <v>66351010</v>
      </c>
      <c r="G453" s="113" t="s">
        <v>262</v>
      </c>
    </row>
    <row r="454" spans="6:7" x14ac:dyDescent="0.25">
      <c r="F454" s="112">
        <v>66351011</v>
      </c>
      <c r="G454" s="113" t="s">
        <v>263</v>
      </c>
    </row>
    <row r="455" spans="6:7" x14ac:dyDescent="0.25">
      <c r="F455" s="112">
        <v>66351012</v>
      </c>
      <c r="G455" s="113" t="s">
        <v>264</v>
      </c>
    </row>
    <row r="456" spans="6:7" x14ac:dyDescent="0.25">
      <c r="F456" s="112">
        <v>66351013</v>
      </c>
      <c r="G456" s="113" t="s">
        <v>265</v>
      </c>
    </row>
    <row r="457" spans="6:7" x14ac:dyDescent="0.25">
      <c r="F457" s="112">
        <v>66351014</v>
      </c>
      <c r="G457" s="113" t="s">
        <v>266</v>
      </c>
    </row>
    <row r="458" spans="6:7" x14ac:dyDescent="0.25">
      <c r="F458" s="112">
        <v>66351015</v>
      </c>
      <c r="G458" s="113" t="s">
        <v>267</v>
      </c>
    </row>
    <row r="459" spans="6:7" x14ac:dyDescent="0.25">
      <c r="F459" s="112">
        <v>66351016</v>
      </c>
      <c r="G459" s="113" t="s">
        <v>268</v>
      </c>
    </row>
    <row r="460" spans="6:7" x14ac:dyDescent="0.25">
      <c r="F460" s="112">
        <v>66351501</v>
      </c>
      <c r="G460" s="113" t="s">
        <v>269</v>
      </c>
    </row>
    <row r="461" spans="6:7" x14ac:dyDescent="0.25">
      <c r="F461" s="112">
        <v>66351502</v>
      </c>
      <c r="G461" s="113" t="s">
        <v>270</v>
      </c>
    </row>
    <row r="462" spans="6:7" x14ac:dyDescent="0.25">
      <c r="F462" s="112">
        <v>66400501</v>
      </c>
      <c r="G462" s="113" t="s">
        <v>271</v>
      </c>
    </row>
    <row r="463" spans="6:7" x14ac:dyDescent="0.25">
      <c r="F463" s="112">
        <v>66400502</v>
      </c>
      <c r="G463" s="113" t="s">
        <v>272</v>
      </c>
    </row>
    <row r="464" spans="6:7" x14ac:dyDescent="0.25">
      <c r="F464" s="112">
        <v>66400503</v>
      </c>
      <c r="G464" s="113" t="s">
        <v>649</v>
      </c>
    </row>
    <row r="465" spans="6:7" x14ac:dyDescent="0.25">
      <c r="F465" s="112">
        <v>66401001</v>
      </c>
      <c r="G465" s="113" t="s">
        <v>273</v>
      </c>
    </row>
    <row r="466" spans="6:7" x14ac:dyDescent="0.25">
      <c r="F466" s="112">
        <v>66450501</v>
      </c>
      <c r="G466" s="113" t="s">
        <v>274</v>
      </c>
    </row>
    <row r="467" spans="6:7" x14ac:dyDescent="0.25">
      <c r="F467" s="112">
        <v>66450502</v>
      </c>
      <c r="G467" s="113" t="s">
        <v>275</v>
      </c>
    </row>
    <row r="468" spans="6:7" x14ac:dyDescent="0.25">
      <c r="F468" s="112">
        <v>66451001</v>
      </c>
      <c r="G468" s="113" t="s">
        <v>276</v>
      </c>
    </row>
    <row r="469" spans="6:7" x14ac:dyDescent="0.25">
      <c r="F469" s="112">
        <v>66900001</v>
      </c>
      <c r="G469" s="113" t="s">
        <v>277</v>
      </c>
    </row>
    <row r="470" spans="6:7" x14ac:dyDescent="0.25">
      <c r="F470" s="112">
        <v>66900501</v>
      </c>
      <c r="G470" s="113" t="s">
        <v>278</v>
      </c>
    </row>
    <row r="471" spans="6:7" x14ac:dyDescent="0.25">
      <c r="F471" s="112">
        <v>66901001</v>
      </c>
      <c r="G471" s="113" t="s">
        <v>279</v>
      </c>
    </row>
    <row r="472" spans="6:7" x14ac:dyDescent="0.25">
      <c r="F472" s="112">
        <v>66901501</v>
      </c>
      <c r="G472" s="113" t="s">
        <v>280</v>
      </c>
    </row>
    <row r="473" spans="6:7" x14ac:dyDescent="0.25">
      <c r="F473" s="112">
        <v>67010501</v>
      </c>
      <c r="G473" s="113" t="s">
        <v>650</v>
      </c>
    </row>
    <row r="474" spans="6:7" x14ac:dyDescent="0.25">
      <c r="F474" s="112">
        <v>67011001</v>
      </c>
      <c r="G474" s="113" t="s">
        <v>651</v>
      </c>
    </row>
    <row r="475" spans="6:7" x14ac:dyDescent="0.25">
      <c r="F475" s="112">
        <v>67100501</v>
      </c>
      <c r="G475" s="113" t="s">
        <v>652</v>
      </c>
    </row>
    <row r="476" spans="6:7" x14ac:dyDescent="0.25">
      <c r="F476" s="112">
        <v>67101001</v>
      </c>
      <c r="G476" s="113" t="s">
        <v>653</v>
      </c>
    </row>
    <row r="477" spans="6:7" x14ac:dyDescent="0.25">
      <c r="F477" s="112">
        <v>67250501</v>
      </c>
      <c r="G477" s="113" t="s">
        <v>654</v>
      </c>
    </row>
    <row r="478" spans="6:7" x14ac:dyDescent="0.25">
      <c r="F478" s="112">
        <v>67400501</v>
      </c>
      <c r="G478" s="113" t="s">
        <v>655</v>
      </c>
    </row>
    <row r="479" spans="6:7" x14ac:dyDescent="0.25">
      <c r="F479" s="112">
        <v>67403001</v>
      </c>
      <c r="G479" s="113" t="s">
        <v>656</v>
      </c>
    </row>
    <row r="480" spans="6:7" x14ac:dyDescent="0.25">
      <c r="F480" s="112">
        <v>67405001</v>
      </c>
      <c r="G480" s="113" t="s">
        <v>657</v>
      </c>
    </row>
    <row r="481" spans="6:7" x14ac:dyDescent="0.25">
      <c r="F481" s="112">
        <v>67450501</v>
      </c>
      <c r="G481" s="113" t="s">
        <v>658</v>
      </c>
    </row>
    <row r="482" spans="6:7" x14ac:dyDescent="0.25">
      <c r="F482" s="112">
        <v>67700501</v>
      </c>
      <c r="G482" s="113" t="s">
        <v>659</v>
      </c>
    </row>
    <row r="483" spans="6:7" x14ac:dyDescent="0.25">
      <c r="F483" s="112">
        <v>67701001</v>
      </c>
      <c r="G483" s="113" t="s">
        <v>660</v>
      </c>
    </row>
    <row r="484" spans="6:7" x14ac:dyDescent="0.25">
      <c r="F484" s="112">
        <v>67701501</v>
      </c>
      <c r="G484" s="113" t="s">
        <v>661</v>
      </c>
    </row>
    <row r="485" spans="6:7" x14ac:dyDescent="0.25">
      <c r="F485" s="112">
        <v>67800501</v>
      </c>
      <c r="G485" s="113" t="s">
        <v>662</v>
      </c>
    </row>
    <row r="486" spans="6:7" x14ac:dyDescent="0.25">
      <c r="F486" s="112">
        <v>67800502</v>
      </c>
      <c r="G486" s="113" t="s">
        <v>663</v>
      </c>
    </row>
    <row r="487" spans="6:7" x14ac:dyDescent="0.25">
      <c r="F487" s="112">
        <v>67800503</v>
      </c>
      <c r="G487" s="113" t="s">
        <v>664</v>
      </c>
    </row>
    <row r="488" spans="6:7" x14ac:dyDescent="0.25">
      <c r="F488" s="112">
        <v>67800504</v>
      </c>
      <c r="G488" s="113" t="s">
        <v>665</v>
      </c>
    </row>
    <row r="489" spans="6:7" x14ac:dyDescent="0.25">
      <c r="F489" s="112">
        <v>67802001</v>
      </c>
      <c r="G489" s="113" t="s">
        <v>666</v>
      </c>
    </row>
    <row r="490" spans="6:7" x14ac:dyDescent="0.25">
      <c r="F490" s="112">
        <v>67803001</v>
      </c>
      <c r="G490" s="113" t="s">
        <v>667</v>
      </c>
    </row>
    <row r="491" spans="6:7" x14ac:dyDescent="0.25">
      <c r="F491" s="112">
        <v>67804001</v>
      </c>
      <c r="G491" s="113" t="s">
        <v>668</v>
      </c>
    </row>
    <row r="492" spans="6:7" x14ac:dyDescent="0.25">
      <c r="F492" s="112">
        <v>67900501</v>
      </c>
      <c r="G492" s="113" t="s">
        <v>669</v>
      </c>
    </row>
    <row r="493" spans="6:7" x14ac:dyDescent="0.25">
      <c r="F493" s="112">
        <v>68010501</v>
      </c>
      <c r="G493" s="113" t="s">
        <v>670</v>
      </c>
    </row>
    <row r="494" spans="6:7" x14ac:dyDescent="0.25">
      <c r="F494" s="112">
        <v>68011001</v>
      </c>
      <c r="G494" s="113" t="s">
        <v>671</v>
      </c>
    </row>
    <row r="495" spans="6:7" x14ac:dyDescent="0.25">
      <c r="F495" s="112">
        <v>68012001</v>
      </c>
      <c r="G495" s="113" t="s">
        <v>672</v>
      </c>
    </row>
    <row r="496" spans="6:7" x14ac:dyDescent="0.25">
      <c r="F496" s="112">
        <v>68012002</v>
      </c>
      <c r="G496" s="113" t="s">
        <v>673</v>
      </c>
    </row>
    <row r="497" spans="6:7" x14ac:dyDescent="0.25">
      <c r="F497" s="112">
        <v>68012003</v>
      </c>
      <c r="G497" s="113" t="s">
        <v>674</v>
      </c>
    </row>
    <row r="498" spans="6:7" x14ac:dyDescent="0.25">
      <c r="F498" s="112">
        <v>68012004</v>
      </c>
      <c r="G498" s="113" t="s">
        <v>675</v>
      </c>
    </row>
    <row r="499" spans="6:7" x14ac:dyDescent="0.25">
      <c r="F499" s="112">
        <v>68050501</v>
      </c>
      <c r="G499" s="113" t="s">
        <v>676</v>
      </c>
    </row>
    <row r="500" spans="6:7" x14ac:dyDescent="0.25">
      <c r="F500" s="112">
        <v>68051001</v>
      </c>
      <c r="G500" s="113" t="s">
        <v>677</v>
      </c>
    </row>
    <row r="501" spans="6:7" x14ac:dyDescent="0.25">
      <c r="F501" s="112">
        <v>68051002</v>
      </c>
      <c r="G501" s="113" t="s">
        <v>678</v>
      </c>
    </row>
    <row r="502" spans="6:7" x14ac:dyDescent="0.25">
      <c r="F502" s="112">
        <v>68100501</v>
      </c>
      <c r="G502" s="113" t="s">
        <v>679</v>
      </c>
    </row>
    <row r="503" spans="6:7" x14ac:dyDescent="0.25">
      <c r="F503" s="112">
        <v>68101001</v>
      </c>
      <c r="G503" s="113" t="s">
        <v>680</v>
      </c>
    </row>
    <row r="504" spans="6:7" x14ac:dyDescent="0.25">
      <c r="F504" s="112">
        <v>68101002</v>
      </c>
      <c r="G504" s="113" t="s">
        <v>681</v>
      </c>
    </row>
    <row r="505" spans="6:7" x14ac:dyDescent="0.25">
      <c r="F505" s="112">
        <v>68101003</v>
      </c>
      <c r="G505" s="113" t="s">
        <v>682</v>
      </c>
    </row>
    <row r="506" spans="6:7" x14ac:dyDescent="0.25">
      <c r="F506" s="112">
        <v>68101004</v>
      </c>
      <c r="G506" s="113" t="s">
        <v>683</v>
      </c>
    </row>
    <row r="507" spans="6:7" x14ac:dyDescent="0.25">
      <c r="F507" s="112">
        <v>68101005</v>
      </c>
      <c r="G507" s="113" t="s">
        <v>684</v>
      </c>
    </row>
  </sheetData>
  <sheetProtection algorithmName="SHA-512" hashValue="9QCAcMdcojOJQIXgUWDEMvZ3s+xhkkYilCox25N0odnJBGc1xyQfBHmW15pcpmkMIAlgRfRGyuxgRAxd7wAhpA==" saltValue="YSJIGcadUBtwVAAV8UVhaA==" spinCount="100000" sheet="1" autoFilter="0"/>
  <mergeCells count="5">
    <mergeCell ref="J4:K4"/>
    <mergeCell ref="AI5:AL5"/>
    <mergeCell ref="AI6:AJ6"/>
    <mergeCell ref="AK6:AL6"/>
    <mergeCell ref="AM6:AN6"/>
  </mergeCells>
  <conditionalFormatting sqref="F7:F462">
    <cfRule type="duplicateValues" dxfId="0" priority="1"/>
  </conditionalFormatting>
  <pageMargins left="0.7" right="0.7" top="0.75" bottom="0.75" header="0.3" footer="0.3"/>
  <pageSetup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1FCCF-25E4-4060-92B2-E1B2981CF7BA}">
  <sheetPr>
    <tabColor rgb="FFFFFF00"/>
    <pageSetUpPr fitToPage="1"/>
  </sheetPr>
  <dimension ref="A1:O88"/>
  <sheetViews>
    <sheetView topLeftCell="A23" zoomScale="108" zoomScaleNormal="108" workbookViewId="0">
      <selection activeCell="B70" sqref="B70"/>
    </sheetView>
  </sheetViews>
  <sheetFormatPr defaultColWidth="11.42578125" defaultRowHeight="15" x14ac:dyDescent="0.25"/>
  <cols>
    <col min="2" max="2" width="16.85546875" bestFit="1" customWidth="1"/>
    <col min="3" max="3" width="21.7109375" customWidth="1"/>
    <col min="4" max="4" width="24.5703125" customWidth="1"/>
    <col min="5" max="5" width="15.7109375" customWidth="1"/>
    <col min="10" max="10" width="13.28515625" customWidth="1"/>
    <col min="11" max="11" width="14.5703125" customWidth="1"/>
    <col min="12" max="12" width="16.85546875" style="11" bestFit="1" customWidth="1"/>
    <col min="13" max="13" width="20.85546875" bestFit="1" customWidth="1"/>
    <col min="14" max="14" width="19.5703125" bestFit="1" customWidth="1"/>
    <col min="15" max="15" width="13.140625" customWidth="1"/>
  </cols>
  <sheetData>
    <row r="1" spans="1:15" x14ac:dyDescent="0.25">
      <c r="B1" s="3"/>
      <c r="D1" s="3"/>
    </row>
    <row r="2" spans="1:15" ht="15.75" x14ac:dyDescent="0.25">
      <c r="A2" s="110"/>
      <c r="B2" s="110"/>
      <c r="C2" s="110"/>
      <c r="D2" s="110"/>
      <c r="E2" s="110"/>
      <c r="F2" s="111" t="s">
        <v>344</v>
      </c>
      <c r="G2" s="111"/>
      <c r="H2" s="111"/>
    </row>
    <row r="3" spans="1:15" ht="21" x14ac:dyDescent="0.35">
      <c r="A3" s="4" t="s">
        <v>356</v>
      </c>
      <c r="B3" s="3"/>
      <c r="D3" s="3"/>
      <c r="F3" s="24">
        <v>470600</v>
      </c>
      <c r="G3" s="24">
        <v>464600</v>
      </c>
      <c r="H3" s="24">
        <v>206000</v>
      </c>
      <c r="J3" s="4" t="s">
        <v>308</v>
      </c>
    </row>
    <row r="4" spans="1:15" ht="15.75" x14ac:dyDescent="0.25">
      <c r="F4" s="108" t="s">
        <v>320</v>
      </c>
      <c r="G4" s="108"/>
      <c r="H4" s="19" t="s">
        <v>324</v>
      </c>
    </row>
    <row r="5" spans="1:15" ht="15.75" x14ac:dyDescent="0.25">
      <c r="A5" s="5" t="s">
        <v>282</v>
      </c>
      <c r="B5" s="6" t="s">
        <v>283</v>
      </c>
      <c r="C5" s="1" t="s">
        <v>284</v>
      </c>
      <c r="D5" s="5" t="s">
        <v>285</v>
      </c>
      <c r="E5" s="5" t="s">
        <v>3</v>
      </c>
      <c r="F5" s="5" t="s">
        <v>321</v>
      </c>
      <c r="G5" s="5" t="s">
        <v>322</v>
      </c>
      <c r="H5" s="5" t="s">
        <v>323</v>
      </c>
      <c r="J5" s="2" t="s">
        <v>309</v>
      </c>
      <c r="K5" s="5"/>
      <c r="L5" s="12"/>
      <c r="M5" s="1"/>
      <c r="N5" s="5"/>
      <c r="O5" s="5"/>
    </row>
    <row r="6" spans="1:15" ht="15.75" x14ac:dyDescent="0.25">
      <c r="A6" s="7">
        <v>19</v>
      </c>
      <c r="B6" s="47">
        <v>350800</v>
      </c>
      <c r="C6" s="8">
        <f t="shared" ref="C6:C37" si="0">IF(B6&lt;$K$17,(B6*$L$14)+1369,((B6*$L$14)+1369)+((B6*(SUM($L$7:$L$8)/$L$6))-$K$17)*$K$23)</f>
        <v>90580.97498461543</v>
      </c>
      <c r="D6" s="9">
        <f>B6+C6</f>
        <v>441380.97498461546</v>
      </c>
      <c r="E6" s="10">
        <f>ROUND(D6/1000,-1)</f>
        <v>440</v>
      </c>
      <c r="F6" s="18">
        <f>F$3/($E6*1000)</f>
        <v>1.0695454545454546</v>
      </c>
      <c r="G6" s="18">
        <f t="shared" ref="G6:H21" si="1">G$3/($E6*1000)</f>
        <v>1.0559090909090909</v>
      </c>
      <c r="H6" s="18">
        <f t="shared" si="1"/>
        <v>0.4681818181818182</v>
      </c>
      <c r="J6" t="s">
        <v>313</v>
      </c>
      <c r="L6" s="13">
        <v>1000</v>
      </c>
    </row>
    <row r="7" spans="1:15" ht="15.75" x14ac:dyDescent="0.25">
      <c r="A7" s="7">
        <v>20</v>
      </c>
      <c r="B7" s="47">
        <v>354300</v>
      </c>
      <c r="C7" s="8">
        <f t="shared" si="0"/>
        <v>91471.060253846197</v>
      </c>
      <c r="D7" s="9">
        <f t="shared" ref="D7:D46" si="2">B7+C7</f>
        <v>445771.06025384623</v>
      </c>
      <c r="E7" s="10">
        <f t="shared" ref="E7:E46" si="3">ROUND(D7/1000,-1)</f>
        <v>450</v>
      </c>
      <c r="F7" s="18">
        <f t="shared" ref="F7:H38" si="4">F$3/($E7*1000)</f>
        <v>1.0457777777777777</v>
      </c>
      <c r="G7" s="18">
        <f t="shared" si="1"/>
        <v>1.0324444444444445</v>
      </c>
      <c r="H7" s="18">
        <f t="shared" si="1"/>
        <v>0.45777777777777778</v>
      </c>
      <c r="J7" t="s">
        <v>314</v>
      </c>
      <c r="L7" s="11">
        <f>L6*(47/52)</f>
        <v>903.84615384615381</v>
      </c>
    </row>
    <row r="8" spans="1:15" ht="15.75" x14ac:dyDescent="0.25">
      <c r="A8" s="7">
        <v>21</v>
      </c>
      <c r="B8" s="47">
        <v>358300</v>
      </c>
      <c r="C8" s="8">
        <f t="shared" si="0"/>
        <v>92488.300561538505</v>
      </c>
      <c r="D8" s="9">
        <f t="shared" si="2"/>
        <v>450788.30056153849</v>
      </c>
      <c r="E8" s="10">
        <f t="shared" si="3"/>
        <v>450</v>
      </c>
      <c r="F8" s="18">
        <f t="shared" si="4"/>
        <v>1.0457777777777777</v>
      </c>
      <c r="G8" s="18">
        <f t="shared" si="1"/>
        <v>1.0324444444444445</v>
      </c>
      <c r="H8" s="18">
        <f t="shared" si="1"/>
        <v>0.45777777777777778</v>
      </c>
      <c r="J8" t="s">
        <v>310</v>
      </c>
      <c r="K8" s="25">
        <v>0.12</v>
      </c>
      <c r="L8" s="11">
        <f>(L6*(1-5/52))*K8</f>
        <v>108.46153846153845</v>
      </c>
    </row>
    <row r="9" spans="1:15" ht="15.75" x14ac:dyDescent="0.25">
      <c r="A9" s="7">
        <v>22</v>
      </c>
      <c r="B9" s="47">
        <v>361900</v>
      </c>
      <c r="C9" s="8">
        <f t="shared" si="0"/>
        <v>93403.816838461586</v>
      </c>
      <c r="D9" s="9">
        <f t="shared" si="2"/>
        <v>455303.81683846156</v>
      </c>
      <c r="E9" s="10">
        <f t="shared" si="3"/>
        <v>460</v>
      </c>
      <c r="F9" s="18">
        <f t="shared" si="4"/>
        <v>1.0230434782608695</v>
      </c>
      <c r="G9" s="18">
        <f t="shared" si="1"/>
        <v>1.01</v>
      </c>
      <c r="H9" s="18">
        <f t="shared" si="1"/>
        <v>0.44782608695652176</v>
      </c>
      <c r="J9" t="s">
        <v>311</v>
      </c>
      <c r="K9" s="25">
        <v>8.6999999999999994E-2</v>
      </c>
      <c r="L9" s="11">
        <f>L6*K9</f>
        <v>87</v>
      </c>
    </row>
    <row r="10" spans="1:15" ht="15.75" x14ac:dyDescent="0.25">
      <c r="A10" s="7">
        <v>23</v>
      </c>
      <c r="B10" s="47">
        <v>365800</v>
      </c>
      <c r="C10" s="8">
        <f t="shared" si="0"/>
        <v>94395.626138461594</v>
      </c>
      <c r="D10" s="9">
        <f t="shared" si="2"/>
        <v>460195.62613846158</v>
      </c>
      <c r="E10" s="10">
        <f t="shared" si="3"/>
        <v>460</v>
      </c>
      <c r="F10" s="18">
        <f t="shared" si="4"/>
        <v>1.0230434782608695</v>
      </c>
      <c r="G10" s="18">
        <f t="shared" si="1"/>
        <v>1.01</v>
      </c>
      <c r="H10" s="18">
        <f t="shared" si="1"/>
        <v>0.44782608695652176</v>
      </c>
      <c r="J10" t="s">
        <v>312</v>
      </c>
      <c r="K10" s="25">
        <v>0.14099999999999999</v>
      </c>
      <c r="L10" s="14">
        <f>SUM(L7:L9)*K10</f>
        <v>155.00238461538461</v>
      </c>
    </row>
    <row r="11" spans="1:15" ht="15.75" x14ac:dyDescent="0.25">
      <c r="A11" s="7">
        <v>24</v>
      </c>
      <c r="B11" s="47">
        <v>369800</v>
      </c>
      <c r="C11" s="8">
        <f t="shared" si="0"/>
        <v>95412.866446153901</v>
      </c>
      <c r="D11" s="9">
        <f t="shared" si="2"/>
        <v>465212.8664461539</v>
      </c>
      <c r="E11" s="10">
        <f t="shared" si="3"/>
        <v>470</v>
      </c>
      <c r="F11" s="18">
        <f t="shared" si="4"/>
        <v>1.0012765957446808</v>
      </c>
      <c r="G11" s="18">
        <f t="shared" si="1"/>
        <v>0.98851063829787233</v>
      </c>
      <c r="H11" s="18">
        <f t="shared" si="1"/>
        <v>0.43829787234042555</v>
      </c>
    </row>
    <row r="12" spans="1:15" ht="15.75" x14ac:dyDescent="0.25">
      <c r="A12" s="7">
        <v>25</v>
      </c>
      <c r="B12" s="47">
        <v>374000</v>
      </c>
      <c r="C12" s="8">
        <f t="shared" si="0"/>
        <v>96480.968769230822</v>
      </c>
      <c r="D12" s="9">
        <f t="shared" si="2"/>
        <v>470480.96876923082</v>
      </c>
      <c r="E12" s="10">
        <f t="shared" si="3"/>
        <v>470</v>
      </c>
      <c r="F12" s="18">
        <f t="shared" si="4"/>
        <v>1.0012765957446808</v>
      </c>
      <c r="G12" s="18">
        <f t="shared" si="1"/>
        <v>0.98851063829787233</v>
      </c>
      <c r="H12" s="18">
        <f t="shared" si="1"/>
        <v>0.43829787234042555</v>
      </c>
      <c r="J12" t="s">
        <v>315</v>
      </c>
      <c r="L12" s="11">
        <f>SUM(L7:L10)</f>
        <v>1254.3100769230771</v>
      </c>
    </row>
    <row r="13" spans="1:15" ht="15.75" x14ac:dyDescent="0.25">
      <c r="A13" s="7">
        <v>26</v>
      </c>
      <c r="B13" s="47">
        <v>378300</v>
      </c>
      <c r="C13" s="8">
        <f t="shared" si="0"/>
        <v>97574.502100000056</v>
      </c>
      <c r="D13" s="9">
        <f t="shared" si="2"/>
        <v>475874.50210000004</v>
      </c>
      <c r="E13" s="10">
        <f t="shared" si="3"/>
        <v>480</v>
      </c>
      <c r="F13" s="18">
        <f t="shared" si="4"/>
        <v>0.98041666666666671</v>
      </c>
      <c r="G13" s="18">
        <f t="shared" si="1"/>
        <v>0.96791666666666665</v>
      </c>
      <c r="H13" s="18">
        <f t="shared" si="1"/>
        <v>0.42916666666666664</v>
      </c>
    </row>
    <row r="14" spans="1:15" ht="15.75" x14ac:dyDescent="0.25">
      <c r="A14" s="7">
        <v>27</v>
      </c>
      <c r="B14" s="47">
        <v>382300</v>
      </c>
      <c r="C14" s="8">
        <f t="shared" si="0"/>
        <v>98591.742407692363</v>
      </c>
      <c r="D14" s="9">
        <f t="shared" si="2"/>
        <v>480891.74240769236</v>
      </c>
      <c r="E14" s="10">
        <f t="shared" si="3"/>
        <v>480</v>
      </c>
      <c r="F14" s="18">
        <f t="shared" si="4"/>
        <v>0.98041666666666671</v>
      </c>
      <c r="G14" s="18">
        <f t="shared" si="1"/>
        <v>0.96791666666666665</v>
      </c>
      <c r="H14" s="18">
        <f t="shared" si="1"/>
        <v>0.42916666666666664</v>
      </c>
      <c r="L14" s="17">
        <f>(L12-L6)/L6</f>
        <v>0.25431007692307706</v>
      </c>
    </row>
    <row r="15" spans="1:15" ht="15.75" x14ac:dyDescent="0.25">
      <c r="A15" s="7">
        <v>28</v>
      </c>
      <c r="B15" s="47">
        <v>386300</v>
      </c>
      <c r="C15" s="8">
        <f t="shared" si="0"/>
        <v>99608.982715384671</v>
      </c>
      <c r="D15" s="9">
        <f t="shared" si="2"/>
        <v>485908.98271538469</v>
      </c>
      <c r="E15" s="10">
        <f t="shared" si="3"/>
        <v>490</v>
      </c>
      <c r="F15" s="18">
        <f t="shared" si="4"/>
        <v>0.96040816326530609</v>
      </c>
      <c r="G15" s="18">
        <f t="shared" si="1"/>
        <v>0.94816326530612249</v>
      </c>
      <c r="H15" s="18">
        <f t="shared" si="1"/>
        <v>0.42040816326530611</v>
      </c>
    </row>
    <row r="16" spans="1:15" ht="15.75" x14ac:dyDescent="0.25">
      <c r="A16" s="7">
        <v>29</v>
      </c>
      <c r="B16" s="47">
        <v>390100</v>
      </c>
      <c r="C16" s="8">
        <f t="shared" si="0"/>
        <v>100575.36100769237</v>
      </c>
      <c r="D16" s="9">
        <f t="shared" si="2"/>
        <v>490675.36100769235</v>
      </c>
      <c r="E16" s="10">
        <f t="shared" si="3"/>
        <v>490</v>
      </c>
      <c r="F16" s="18">
        <f t="shared" si="4"/>
        <v>0.96040816326530609</v>
      </c>
      <c r="G16" s="18">
        <f t="shared" si="1"/>
        <v>0.94816326530612249</v>
      </c>
      <c r="H16" s="18">
        <f t="shared" si="1"/>
        <v>0.42040816326530611</v>
      </c>
    </row>
    <row r="17" spans="1:13" ht="15.75" x14ac:dyDescent="0.25">
      <c r="A17" s="7">
        <v>30</v>
      </c>
      <c r="B17" s="47">
        <v>394100</v>
      </c>
      <c r="C17" s="8">
        <f t="shared" si="0"/>
        <v>101592.60131538467</v>
      </c>
      <c r="D17" s="9">
        <f t="shared" si="2"/>
        <v>495692.60131538467</v>
      </c>
      <c r="E17" s="10">
        <f t="shared" si="3"/>
        <v>500</v>
      </c>
      <c r="F17" s="18">
        <f t="shared" si="4"/>
        <v>0.94120000000000004</v>
      </c>
      <c r="G17" s="18">
        <f t="shared" si="1"/>
        <v>0.92920000000000003</v>
      </c>
      <c r="H17" s="18">
        <f t="shared" si="1"/>
        <v>0.41199999999999998</v>
      </c>
      <c r="J17" s="2" t="s">
        <v>317</v>
      </c>
      <c r="K17" s="26">
        <v>750000</v>
      </c>
      <c r="L17" s="12"/>
    </row>
    <row r="18" spans="1:13" ht="15.75" x14ac:dyDescent="0.25">
      <c r="A18" s="7">
        <v>31</v>
      </c>
      <c r="B18" s="47">
        <v>397700</v>
      </c>
      <c r="C18" s="8">
        <f t="shared" si="0"/>
        <v>102508.11759230774</v>
      </c>
      <c r="D18" s="9">
        <f t="shared" si="2"/>
        <v>500208.11759230774</v>
      </c>
      <c r="E18" s="10">
        <f t="shared" si="3"/>
        <v>500</v>
      </c>
      <c r="F18" s="18">
        <f t="shared" si="4"/>
        <v>0.94120000000000004</v>
      </c>
      <c r="G18" s="18">
        <f t="shared" si="1"/>
        <v>0.92920000000000003</v>
      </c>
      <c r="H18" s="18">
        <f t="shared" si="1"/>
        <v>0.41199999999999998</v>
      </c>
      <c r="J18" t="s">
        <v>313</v>
      </c>
      <c r="L18" s="13">
        <f>K17+10000</f>
        <v>760000</v>
      </c>
      <c r="M18" s="13">
        <v>1000000</v>
      </c>
    </row>
    <row r="19" spans="1:13" ht="15.75" x14ac:dyDescent="0.25">
      <c r="A19" s="7">
        <v>32</v>
      </c>
      <c r="B19" s="47">
        <v>401900</v>
      </c>
      <c r="C19" s="8">
        <f t="shared" si="0"/>
        <v>103576.21991538467</v>
      </c>
      <c r="D19" s="9">
        <f t="shared" si="2"/>
        <v>505476.21991538466</v>
      </c>
      <c r="E19" s="10">
        <f t="shared" si="3"/>
        <v>510</v>
      </c>
      <c r="F19" s="18">
        <f t="shared" si="4"/>
        <v>0.92274509803921567</v>
      </c>
      <c r="G19" s="18">
        <f t="shared" si="1"/>
        <v>0.91098039215686277</v>
      </c>
      <c r="H19" s="18">
        <f t="shared" si="1"/>
        <v>0.40392156862745099</v>
      </c>
      <c r="J19" t="s">
        <v>314</v>
      </c>
      <c r="L19" s="11">
        <f>L18*(47/52)</f>
        <v>686923.07692307688</v>
      </c>
      <c r="M19" s="11">
        <f>M18*(47/52)</f>
        <v>903846.15384615387</v>
      </c>
    </row>
    <row r="20" spans="1:13" ht="15.75" x14ac:dyDescent="0.25">
      <c r="A20" s="7">
        <v>33</v>
      </c>
      <c r="B20" s="47">
        <v>405800</v>
      </c>
      <c r="C20" s="8">
        <f t="shared" si="0"/>
        <v>104568.02921538467</v>
      </c>
      <c r="D20" s="9">
        <f t="shared" si="2"/>
        <v>510368.02921538468</v>
      </c>
      <c r="E20" s="10">
        <f t="shared" si="3"/>
        <v>510</v>
      </c>
      <c r="F20" s="18">
        <f t="shared" si="4"/>
        <v>0.92274509803921567</v>
      </c>
      <c r="G20" s="18">
        <f t="shared" si="1"/>
        <v>0.91098039215686277</v>
      </c>
      <c r="H20" s="18">
        <f t="shared" si="1"/>
        <v>0.40392156862745099</v>
      </c>
      <c r="J20" t="s">
        <v>310</v>
      </c>
      <c r="K20" s="21">
        <f>K8</f>
        <v>0.12</v>
      </c>
      <c r="L20" s="11">
        <f>(L18*(1-5/52))*K20</f>
        <v>82430.76923076922</v>
      </c>
      <c r="M20" s="11">
        <f>M19*K20</f>
        <v>108461.53846153845</v>
      </c>
    </row>
    <row r="21" spans="1:13" ht="15.75" x14ac:dyDescent="0.25">
      <c r="A21" s="7">
        <v>34</v>
      </c>
      <c r="B21" s="47">
        <v>410000</v>
      </c>
      <c r="C21" s="8">
        <f t="shared" si="0"/>
        <v>105636.13153846159</v>
      </c>
      <c r="D21" s="9">
        <f t="shared" si="2"/>
        <v>515636.1315384616</v>
      </c>
      <c r="E21" s="10">
        <f t="shared" si="3"/>
        <v>520</v>
      </c>
      <c r="F21" s="18">
        <f t="shared" si="4"/>
        <v>0.90500000000000003</v>
      </c>
      <c r="G21" s="18">
        <f t="shared" si="1"/>
        <v>0.89346153846153842</v>
      </c>
      <c r="H21" s="18">
        <f t="shared" si="1"/>
        <v>0.39615384615384613</v>
      </c>
      <c r="J21" t="s">
        <v>311</v>
      </c>
      <c r="K21" s="21">
        <f t="shared" ref="K21:K22" si="5">K9</f>
        <v>8.6999999999999994E-2</v>
      </c>
      <c r="L21" s="11">
        <f>L18*K21</f>
        <v>66120</v>
      </c>
      <c r="M21" s="11">
        <f>M18*K21</f>
        <v>87000</v>
      </c>
    </row>
    <row r="22" spans="1:13" ht="15.75" x14ac:dyDescent="0.25">
      <c r="A22" s="7">
        <v>35</v>
      </c>
      <c r="B22" s="47">
        <v>414200</v>
      </c>
      <c r="C22" s="8">
        <f t="shared" si="0"/>
        <v>106704.23386153852</v>
      </c>
      <c r="D22" s="9">
        <f t="shared" si="2"/>
        <v>520904.23386153852</v>
      </c>
      <c r="E22" s="10">
        <f t="shared" si="3"/>
        <v>520</v>
      </c>
      <c r="F22" s="18">
        <f t="shared" si="4"/>
        <v>0.90500000000000003</v>
      </c>
      <c r="G22" s="18">
        <f t="shared" si="4"/>
        <v>0.89346153846153842</v>
      </c>
      <c r="H22" s="18">
        <f t="shared" si="4"/>
        <v>0.39615384615384613</v>
      </c>
      <c r="J22" t="s">
        <v>312</v>
      </c>
      <c r="K22" s="21">
        <f t="shared" si="5"/>
        <v>0.14099999999999999</v>
      </c>
      <c r="L22" s="15">
        <f>SUM(L19:L21)*K22</f>
        <v>117801.81230769229</v>
      </c>
      <c r="M22" s="15">
        <f>SUM(M19:M21)*K22</f>
        <v>155002.38461538462</v>
      </c>
    </row>
    <row r="23" spans="1:13" ht="15.75" x14ac:dyDescent="0.25">
      <c r="A23" s="7">
        <v>36</v>
      </c>
      <c r="B23" s="47">
        <v>418500</v>
      </c>
      <c r="C23" s="8">
        <f t="shared" si="0"/>
        <v>107797.76719230774</v>
      </c>
      <c r="D23" s="9">
        <f t="shared" si="2"/>
        <v>526297.76719230774</v>
      </c>
      <c r="E23" s="10">
        <f t="shared" si="3"/>
        <v>530</v>
      </c>
      <c r="F23" s="18">
        <f t="shared" si="4"/>
        <v>0.88792452830188684</v>
      </c>
      <c r="G23" s="18">
        <f t="shared" si="4"/>
        <v>0.87660377358490571</v>
      </c>
      <c r="H23" s="18">
        <f t="shared" si="4"/>
        <v>0.38867924528301889</v>
      </c>
      <c r="J23" t="s">
        <v>316</v>
      </c>
      <c r="K23" s="27">
        <v>0.05</v>
      </c>
      <c r="L23" s="14">
        <f>(L19+L20-K17)*K23</f>
        <v>967.69230769230637</v>
      </c>
      <c r="M23" s="14">
        <f>(M18-K17)*K23</f>
        <v>12500</v>
      </c>
    </row>
    <row r="24" spans="1:13" ht="15.75" x14ac:dyDescent="0.25">
      <c r="A24" s="7">
        <v>37</v>
      </c>
      <c r="B24" s="47">
        <v>423300</v>
      </c>
      <c r="C24" s="8">
        <f t="shared" si="0"/>
        <v>109018.45556153852</v>
      </c>
      <c r="D24" s="9">
        <f t="shared" si="2"/>
        <v>532318.45556153846</v>
      </c>
      <c r="E24" s="10">
        <f t="shared" si="3"/>
        <v>530</v>
      </c>
      <c r="F24" s="18">
        <f t="shared" si="4"/>
        <v>0.88792452830188684</v>
      </c>
      <c r="G24" s="18">
        <f t="shared" si="4"/>
        <v>0.87660377358490571</v>
      </c>
      <c r="H24" s="18">
        <f t="shared" si="4"/>
        <v>0.38867924528301889</v>
      </c>
      <c r="M24" s="11"/>
    </row>
    <row r="25" spans="1:13" ht="15.75" x14ac:dyDescent="0.25">
      <c r="A25" s="7">
        <v>38</v>
      </c>
      <c r="B25" s="47">
        <v>428100</v>
      </c>
      <c r="C25" s="8">
        <f t="shared" si="0"/>
        <v>110239.14393076929</v>
      </c>
      <c r="D25" s="9">
        <f t="shared" si="2"/>
        <v>538339.14393076929</v>
      </c>
      <c r="E25" s="10">
        <f t="shared" si="3"/>
        <v>540</v>
      </c>
      <c r="F25" s="18">
        <f t="shared" si="4"/>
        <v>0.87148148148148152</v>
      </c>
      <c r="G25" s="18">
        <f t="shared" si="4"/>
        <v>0.86037037037037034</v>
      </c>
      <c r="H25" s="18">
        <f t="shared" si="4"/>
        <v>0.38148148148148148</v>
      </c>
      <c r="J25" t="s">
        <v>315</v>
      </c>
      <c r="L25" s="11">
        <f>SUM(L19:L23)</f>
        <v>954243.35076923063</v>
      </c>
      <c r="M25" s="11">
        <f>SUM(M19:M23)</f>
        <v>1266810.076923077</v>
      </c>
    </row>
    <row r="26" spans="1:13" ht="15.75" x14ac:dyDescent="0.25">
      <c r="A26" s="7">
        <v>39</v>
      </c>
      <c r="B26" s="47">
        <v>432800</v>
      </c>
      <c r="C26" s="8">
        <f t="shared" si="0"/>
        <v>111434.40129230775</v>
      </c>
      <c r="D26" s="9">
        <f t="shared" si="2"/>
        <v>544234.40129230777</v>
      </c>
      <c r="E26" s="10">
        <f t="shared" si="3"/>
        <v>540</v>
      </c>
      <c r="F26" s="18">
        <f t="shared" si="4"/>
        <v>0.87148148148148152</v>
      </c>
      <c r="G26" s="18">
        <f t="shared" si="4"/>
        <v>0.86037037037037034</v>
      </c>
      <c r="H26" s="18">
        <f t="shared" si="4"/>
        <v>0.38148148148148148</v>
      </c>
      <c r="M26" s="11"/>
    </row>
    <row r="27" spans="1:13" ht="15.75" x14ac:dyDescent="0.25">
      <c r="A27" s="7">
        <v>40</v>
      </c>
      <c r="B27" s="47">
        <v>437900</v>
      </c>
      <c r="C27" s="8">
        <f t="shared" si="0"/>
        <v>112731.38268461544</v>
      </c>
      <c r="D27" s="9">
        <f t="shared" si="2"/>
        <v>550631.38268461544</v>
      </c>
      <c r="E27" s="10">
        <f t="shared" si="3"/>
        <v>550</v>
      </c>
      <c r="F27" s="18">
        <f t="shared" si="4"/>
        <v>0.85563636363636364</v>
      </c>
      <c r="G27" s="18">
        <f t="shared" si="4"/>
        <v>0.84472727272727277</v>
      </c>
      <c r="H27" s="18">
        <f t="shared" si="4"/>
        <v>0.37454545454545457</v>
      </c>
      <c r="L27" s="17">
        <f>(L25-L18)/L18</f>
        <v>0.25558335627530349</v>
      </c>
      <c r="M27" s="17">
        <f>(M25-M18)/M18</f>
        <v>0.26681007692307701</v>
      </c>
    </row>
    <row r="28" spans="1:13" ht="15.75" x14ac:dyDescent="0.25">
      <c r="A28" s="7">
        <v>41</v>
      </c>
      <c r="B28" s="47">
        <v>443000</v>
      </c>
      <c r="C28" s="8">
        <f t="shared" si="0"/>
        <v>114028.36407692314</v>
      </c>
      <c r="D28" s="9">
        <f t="shared" si="2"/>
        <v>557028.36407692311</v>
      </c>
      <c r="E28" s="10">
        <f t="shared" si="3"/>
        <v>560</v>
      </c>
      <c r="F28" s="18">
        <f t="shared" si="4"/>
        <v>0.8403571428571428</v>
      </c>
      <c r="G28" s="18">
        <f t="shared" si="4"/>
        <v>0.82964285714285713</v>
      </c>
      <c r="H28" s="18">
        <f t="shared" si="4"/>
        <v>0.36785714285714288</v>
      </c>
    </row>
    <row r="29" spans="1:13" ht="15.75" x14ac:dyDescent="0.25">
      <c r="A29" s="7">
        <v>42</v>
      </c>
      <c r="B29" s="47">
        <v>448900</v>
      </c>
      <c r="C29" s="8">
        <f t="shared" si="0"/>
        <v>115528.7935307693</v>
      </c>
      <c r="D29" s="9">
        <f t="shared" si="2"/>
        <v>564428.7935307693</v>
      </c>
      <c r="E29" s="10">
        <f t="shared" si="3"/>
        <v>560</v>
      </c>
      <c r="F29" s="18">
        <f t="shared" si="4"/>
        <v>0.8403571428571428</v>
      </c>
      <c r="G29" s="18">
        <f t="shared" si="4"/>
        <v>0.82964285714285713</v>
      </c>
      <c r="H29" s="18">
        <f t="shared" si="4"/>
        <v>0.36785714285714288</v>
      </c>
    </row>
    <row r="30" spans="1:13" ht="15.75" x14ac:dyDescent="0.25">
      <c r="A30" s="7">
        <v>43</v>
      </c>
      <c r="B30" s="47">
        <v>454500</v>
      </c>
      <c r="C30" s="8">
        <f t="shared" si="0"/>
        <v>116952.92996153852</v>
      </c>
      <c r="D30" s="9">
        <f t="shared" si="2"/>
        <v>571452.92996153852</v>
      </c>
      <c r="E30" s="10">
        <f t="shared" si="3"/>
        <v>570</v>
      </c>
      <c r="F30" s="18">
        <f t="shared" si="4"/>
        <v>0.82561403508771924</v>
      </c>
      <c r="G30" s="18">
        <f t="shared" si="4"/>
        <v>0.81508771929824564</v>
      </c>
      <c r="H30" s="18">
        <f t="shared" si="4"/>
        <v>0.36140350877192984</v>
      </c>
    </row>
    <row r="31" spans="1:13" ht="15.75" x14ac:dyDescent="0.25">
      <c r="A31" s="7">
        <v>44</v>
      </c>
      <c r="B31" s="47">
        <v>460600</v>
      </c>
      <c r="C31" s="8">
        <f t="shared" si="0"/>
        <v>118504.22143076929</v>
      </c>
      <c r="D31" s="9">
        <f t="shared" si="2"/>
        <v>579104.22143076931</v>
      </c>
      <c r="E31" s="10">
        <f t="shared" si="3"/>
        <v>580</v>
      </c>
      <c r="F31" s="18">
        <f t="shared" si="4"/>
        <v>0.81137931034482758</v>
      </c>
      <c r="G31" s="18">
        <f t="shared" si="4"/>
        <v>0.80103448275862066</v>
      </c>
      <c r="H31" s="18">
        <f t="shared" si="4"/>
        <v>0.35517241379310344</v>
      </c>
    </row>
    <row r="32" spans="1:13" ht="15.75" x14ac:dyDescent="0.25">
      <c r="A32" s="7">
        <v>45</v>
      </c>
      <c r="B32" s="47">
        <v>466600</v>
      </c>
      <c r="C32" s="8">
        <f t="shared" si="0"/>
        <v>120030.08189230776</v>
      </c>
      <c r="D32" s="9">
        <f t="shared" si="2"/>
        <v>586630.08189230773</v>
      </c>
      <c r="E32" s="10">
        <f t="shared" si="3"/>
        <v>590</v>
      </c>
      <c r="F32" s="18">
        <f t="shared" si="4"/>
        <v>0.79762711864406777</v>
      </c>
      <c r="G32" s="18">
        <f t="shared" si="4"/>
        <v>0.78745762711864409</v>
      </c>
      <c r="H32" s="18">
        <f t="shared" si="4"/>
        <v>0.34915254237288135</v>
      </c>
    </row>
    <row r="33" spans="1:8" ht="15.75" x14ac:dyDescent="0.25">
      <c r="A33" s="7">
        <v>46</v>
      </c>
      <c r="B33" s="47">
        <v>472900</v>
      </c>
      <c r="C33" s="8">
        <f t="shared" si="0"/>
        <v>121632.23537692314</v>
      </c>
      <c r="D33" s="9">
        <f t="shared" si="2"/>
        <v>594532.23537692311</v>
      </c>
      <c r="E33" s="10">
        <f t="shared" si="3"/>
        <v>590</v>
      </c>
      <c r="F33" s="18">
        <f t="shared" si="4"/>
        <v>0.79762711864406777</v>
      </c>
      <c r="G33" s="18">
        <f t="shared" si="4"/>
        <v>0.78745762711864409</v>
      </c>
      <c r="H33" s="18">
        <f t="shared" si="4"/>
        <v>0.34915254237288135</v>
      </c>
    </row>
    <row r="34" spans="1:8" ht="15.75" x14ac:dyDescent="0.25">
      <c r="A34" s="7">
        <v>47</v>
      </c>
      <c r="B34" s="47">
        <v>480900</v>
      </c>
      <c r="C34" s="8">
        <f t="shared" si="0"/>
        <v>123666.71599230776</v>
      </c>
      <c r="D34" s="9">
        <f t="shared" si="2"/>
        <v>604566.71599230776</v>
      </c>
      <c r="E34" s="10">
        <f t="shared" si="3"/>
        <v>600</v>
      </c>
      <c r="F34" s="18">
        <f t="shared" si="4"/>
        <v>0.78433333333333333</v>
      </c>
      <c r="G34" s="18">
        <f t="shared" si="4"/>
        <v>0.77433333333333332</v>
      </c>
      <c r="H34" s="18">
        <f t="shared" si="4"/>
        <v>0.34333333333333332</v>
      </c>
    </row>
    <row r="35" spans="1:8" ht="15.75" x14ac:dyDescent="0.25">
      <c r="A35" s="7">
        <v>48</v>
      </c>
      <c r="B35" s="47">
        <v>487800</v>
      </c>
      <c r="C35" s="8">
        <f t="shared" si="0"/>
        <v>125421.45552307699</v>
      </c>
      <c r="D35" s="9">
        <f t="shared" si="2"/>
        <v>613221.45552307693</v>
      </c>
      <c r="E35" s="10">
        <f t="shared" si="3"/>
        <v>610</v>
      </c>
      <c r="F35" s="18">
        <f t="shared" si="4"/>
        <v>0.77147540983606555</v>
      </c>
      <c r="G35" s="18">
        <f t="shared" si="4"/>
        <v>0.76163934426229507</v>
      </c>
      <c r="H35" s="18">
        <f t="shared" si="4"/>
        <v>0.3377049180327869</v>
      </c>
    </row>
    <row r="36" spans="1:8" ht="15.75" x14ac:dyDescent="0.25">
      <c r="A36" s="7">
        <v>49</v>
      </c>
      <c r="B36" s="47">
        <v>495200</v>
      </c>
      <c r="C36" s="8">
        <f t="shared" si="0"/>
        <v>127303.35009230775</v>
      </c>
      <c r="D36" s="9">
        <f t="shared" si="2"/>
        <v>622503.35009230778</v>
      </c>
      <c r="E36" s="10">
        <f t="shared" si="3"/>
        <v>620</v>
      </c>
      <c r="F36" s="18">
        <f t="shared" si="4"/>
        <v>0.75903225806451613</v>
      </c>
      <c r="G36" s="18">
        <f t="shared" si="4"/>
        <v>0.74935483870967745</v>
      </c>
      <c r="H36" s="18">
        <f t="shared" si="4"/>
        <v>0.33225806451612905</v>
      </c>
    </row>
    <row r="37" spans="1:8" ht="15.75" x14ac:dyDescent="0.25">
      <c r="A37" s="7">
        <v>50</v>
      </c>
      <c r="B37" s="47">
        <v>502300</v>
      </c>
      <c r="C37" s="8">
        <f t="shared" si="0"/>
        <v>129108.9516384616</v>
      </c>
      <c r="D37" s="9">
        <f t="shared" si="2"/>
        <v>631408.95163846156</v>
      </c>
      <c r="E37" s="10">
        <f t="shared" si="3"/>
        <v>630</v>
      </c>
      <c r="F37" s="18">
        <f t="shared" si="4"/>
        <v>0.74698412698412697</v>
      </c>
      <c r="G37" s="18">
        <f t="shared" si="4"/>
        <v>0.73746031746031748</v>
      </c>
      <c r="H37" s="18">
        <f t="shared" si="4"/>
        <v>0.32698412698412699</v>
      </c>
    </row>
    <row r="38" spans="1:8" ht="15.75" x14ac:dyDescent="0.25">
      <c r="A38" s="7">
        <v>51</v>
      </c>
      <c r="B38" s="47">
        <v>509300</v>
      </c>
      <c r="C38" s="8">
        <f t="shared" ref="C38:C69" si="6">IF(B38&lt;$K$17,(B38*$L$14)+1369,((B38*$L$14)+1369)+((B38*(SUM($L$7:$L$8)/$L$6))-$K$17)*$K$23)</f>
        <v>130889.12217692315</v>
      </c>
      <c r="D38" s="9">
        <f t="shared" si="2"/>
        <v>640189.12217692309</v>
      </c>
      <c r="E38" s="10">
        <f t="shared" si="3"/>
        <v>640</v>
      </c>
      <c r="F38" s="18">
        <f t="shared" si="4"/>
        <v>0.73531250000000004</v>
      </c>
      <c r="G38" s="18">
        <f t="shared" si="4"/>
        <v>0.72593750000000001</v>
      </c>
      <c r="H38" s="18">
        <f t="shared" si="4"/>
        <v>0.32187500000000002</v>
      </c>
    </row>
    <row r="39" spans="1:8" ht="15.75" x14ac:dyDescent="0.25">
      <c r="A39" s="7">
        <v>52</v>
      </c>
      <c r="B39" s="47">
        <v>516800</v>
      </c>
      <c r="C39" s="8">
        <f t="shared" si="6"/>
        <v>132796.44775384621</v>
      </c>
      <c r="D39" s="9">
        <f t="shared" si="2"/>
        <v>649596.44775384618</v>
      </c>
      <c r="E39" s="10">
        <f t="shared" si="3"/>
        <v>650</v>
      </c>
      <c r="F39" s="18">
        <f t="shared" ref="F39:H70" si="7">F$3/($E39*1000)</f>
        <v>0.72399999999999998</v>
      </c>
      <c r="G39" s="18">
        <f t="shared" si="7"/>
        <v>0.71476923076923082</v>
      </c>
      <c r="H39" s="18">
        <f t="shared" si="7"/>
        <v>0.31692307692307692</v>
      </c>
    </row>
    <row r="40" spans="1:8" ht="15.75" x14ac:dyDescent="0.25">
      <c r="A40" s="7">
        <v>53</v>
      </c>
      <c r="B40" s="47">
        <v>524700</v>
      </c>
      <c r="C40" s="8">
        <f t="shared" si="6"/>
        <v>134805.49736153852</v>
      </c>
      <c r="D40" s="9">
        <f t="shared" si="2"/>
        <v>659505.49736153847</v>
      </c>
      <c r="E40" s="10">
        <f t="shared" si="3"/>
        <v>660</v>
      </c>
      <c r="F40" s="18">
        <f t="shared" si="7"/>
        <v>0.71303030303030301</v>
      </c>
      <c r="G40" s="18">
        <f t="shared" si="7"/>
        <v>0.70393939393939398</v>
      </c>
      <c r="H40" s="18">
        <f t="shared" si="7"/>
        <v>0.31212121212121213</v>
      </c>
    </row>
    <row r="41" spans="1:8" ht="15.75" x14ac:dyDescent="0.25">
      <c r="A41" s="7">
        <v>54</v>
      </c>
      <c r="B41" s="47">
        <v>532200</v>
      </c>
      <c r="C41" s="8">
        <f t="shared" si="6"/>
        <v>136712.82293846161</v>
      </c>
      <c r="D41" s="9">
        <f t="shared" si="2"/>
        <v>668912.82293846156</v>
      </c>
      <c r="E41" s="10">
        <f t="shared" si="3"/>
        <v>670</v>
      </c>
      <c r="F41" s="18">
        <f t="shared" si="7"/>
        <v>0.70238805970149254</v>
      </c>
      <c r="G41" s="18">
        <f t="shared" si="7"/>
        <v>0.69343283582089554</v>
      </c>
      <c r="H41" s="18">
        <f t="shared" si="7"/>
        <v>0.30746268656716419</v>
      </c>
    </row>
    <row r="42" spans="1:8" ht="15.75" x14ac:dyDescent="0.25">
      <c r="A42" s="7">
        <v>55</v>
      </c>
      <c r="B42" s="47">
        <v>540500</v>
      </c>
      <c r="C42" s="8">
        <f t="shared" si="6"/>
        <v>138823.59657692316</v>
      </c>
      <c r="D42" s="9">
        <f t="shared" si="2"/>
        <v>679323.59657692316</v>
      </c>
      <c r="E42" s="10">
        <f t="shared" si="3"/>
        <v>680</v>
      </c>
      <c r="F42" s="18">
        <f t="shared" si="7"/>
        <v>0.69205882352941173</v>
      </c>
      <c r="G42" s="18">
        <f t="shared" si="7"/>
        <v>0.68323529411764705</v>
      </c>
      <c r="H42" s="18">
        <f t="shared" si="7"/>
        <v>0.30294117647058821</v>
      </c>
    </row>
    <row r="43" spans="1:8" ht="15.75" x14ac:dyDescent="0.25">
      <c r="A43" s="7">
        <v>56</v>
      </c>
      <c r="B43" s="47">
        <v>548600</v>
      </c>
      <c r="C43" s="8">
        <f t="shared" si="6"/>
        <v>140883.50820000007</v>
      </c>
      <c r="D43" s="9">
        <f t="shared" si="2"/>
        <v>689483.50820000004</v>
      </c>
      <c r="E43" s="10">
        <f t="shared" si="3"/>
        <v>690</v>
      </c>
      <c r="F43" s="18">
        <f t="shared" si="7"/>
        <v>0.68202898550724633</v>
      </c>
      <c r="G43" s="18">
        <f t="shared" si="7"/>
        <v>0.67333333333333334</v>
      </c>
      <c r="H43" s="18">
        <f t="shared" si="7"/>
        <v>0.29855072463768118</v>
      </c>
    </row>
    <row r="44" spans="1:8" ht="15.75" x14ac:dyDescent="0.25">
      <c r="A44" s="7">
        <v>57</v>
      </c>
      <c r="B44" s="47">
        <v>557100</v>
      </c>
      <c r="C44" s="8">
        <f t="shared" si="6"/>
        <v>143045.14385384624</v>
      </c>
      <c r="D44" s="9">
        <f t="shared" si="2"/>
        <v>700145.14385384624</v>
      </c>
      <c r="E44" s="10">
        <f t="shared" si="3"/>
        <v>700</v>
      </c>
      <c r="F44" s="18">
        <f t="shared" si="7"/>
        <v>0.67228571428571426</v>
      </c>
      <c r="G44" s="18">
        <f t="shared" si="7"/>
        <v>0.6637142857142857</v>
      </c>
      <c r="H44" s="18">
        <f t="shared" si="7"/>
        <v>0.29428571428571426</v>
      </c>
    </row>
    <row r="45" spans="1:8" ht="15.75" x14ac:dyDescent="0.25">
      <c r="A45" s="7">
        <v>58</v>
      </c>
      <c r="B45" s="47">
        <v>565900</v>
      </c>
      <c r="C45" s="8">
        <f t="shared" si="6"/>
        <v>145283.07253076931</v>
      </c>
      <c r="D45" s="9">
        <f t="shared" si="2"/>
        <v>711183.07253076928</v>
      </c>
      <c r="E45" s="10">
        <f t="shared" si="3"/>
        <v>710</v>
      </c>
      <c r="F45" s="18">
        <f t="shared" si="7"/>
        <v>0.66281690140845073</v>
      </c>
      <c r="G45" s="18">
        <f t="shared" si="7"/>
        <v>0.65436619718309863</v>
      </c>
      <c r="H45" s="18">
        <f t="shared" si="7"/>
        <v>0.29014084507042254</v>
      </c>
    </row>
    <row r="46" spans="1:8" ht="15.75" x14ac:dyDescent="0.25">
      <c r="A46" s="7">
        <v>59</v>
      </c>
      <c r="B46" s="47">
        <v>575400</v>
      </c>
      <c r="C46" s="8">
        <f t="shared" si="6"/>
        <v>147699.01826153853</v>
      </c>
      <c r="D46" s="9">
        <f t="shared" si="2"/>
        <v>723099.01826153859</v>
      </c>
      <c r="E46" s="10">
        <f t="shared" si="3"/>
        <v>720</v>
      </c>
      <c r="F46" s="18">
        <f t="shared" si="7"/>
        <v>0.65361111111111114</v>
      </c>
      <c r="G46" s="18">
        <f t="shared" si="7"/>
        <v>0.64527777777777773</v>
      </c>
      <c r="H46" s="18">
        <f t="shared" si="7"/>
        <v>0.28611111111111109</v>
      </c>
    </row>
    <row r="47" spans="1:8" ht="15.75" x14ac:dyDescent="0.25">
      <c r="A47" s="7">
        <v>60</v>
      </c>
      <c r="B47" s="47">
        <v>584500</v>
      </c>
      <c r="C47" s="8">
        <f t="shared" si="6"/>
        <v>150013.23996153855</v>
      </c>
      <c r="D47" s="9">
        <f>B47+C47</f>
        <v>734513.23996153858</v>
      </c>
      <c r="E47" s="10">
        <f>ROUND(D47/1000,-1)</f>
        <v>730</v>
      </c>
      <c r="F47" s="18">
        <f t="shared" si="7"/>
        <v>0.64465753424657535</v>
      </c>
      <c r="G47" s="18">
        <f t="shared" si="7"/>
        <v>0.6364383561643836</v>
      </c>
      <c r="H47" s="18">
        <f t="shared" si="7"/>
        <v>0.28219178082191781</v>
      </c>
    </row>
    <row r="48" spans="1:8" ht="15.75" x14ac:dyDescent="0.25">
      <c r="A48" s="7">
        <v>61</v>
      </c>
      <c r="B48" s="47">
        <v>594500</v>
      </c>
      <c r="C48" s="8">
        <f t="shared" si="6"/>
        <v>152556.3407307693</v>
      </c>
      <c r="D48" s="9">
        <f t="shared" ref="D48:D88" si="8">B48+C48</f>
        <v>747056.34073076933</v>
      </c>
      <c r="E48" s="10">
        <f t="shared" ref="E48:E88" si="9">ROUND(D48/1000,-1)</f>
        <v>750</v>
      </c>
      <c r="F48" s="18">
        <f t="shared" si="7"/>
        <v>0.62746666666666662</v>
      </c>
      <c r="G48" s="18">
        <f t="shared" si="7"/>
        <v>0.61946666666666672</v>
      </c>
      <c r="H48" s="18">
        <f t="shared" si="7"/>
        <v>0.27466666666666667</v>
      </c>
    </row>
    <row r="49" spans="1:8" ht="15.75" x14ac:dyDescent="0.25">
      <c r="A49" s="7">
        <v>62</v>
      </c>
      <c r="B49" s="47">
        <v>604900</v>
      </c>
      <c r="C49" s="8">
        <f t="shared" si="6"/>
        <v>155201.1655307693</v>
      </c>
      <c r="D49" s="9">
        <f t="shared" si="8"/>
        <v>760101.16553076927</v>
      </c>
      <c r="E49" s="10">
        <f t="shared" si="9"/>
        <v>760</v>
      </c>
      <c r="F49" s="18">
        <f t="shared" si="7"/>
        <v>0.61921052631578943</v>
      </c>
      <c r="G49" s="18">
        <f t="shared" si="7"/>
        <v>0.61131578947368426</v>
      </c>
      <c r="H49" s="18">
        <f t="shared" si="7"/>
        <v>0.27105263157894738</v>
      </c>
    </row>
    <row r="50" spans="1:8" ht="15.75" x14ac:dyDescent="0.25">
      <c r="A50" s="7">
        <v>63</v>
      </c>
      <c r="B50" s="47">
        <v>615700</v>
      </c>
      <c r="C50" s="8">
        <f t="shared" si="6"/>
        <v>157947.71436153853</v>
      </c>
      <c r="D50" s="9">
        <f t="shared" si="8"/>
        <v>773647.71436153853</v>
      </c>
      <c r="E50" s="10">
        <f t="shared" si="9"/>
        <v>770</v>
      </c>
      <c r="F50" s="18">
        <f t="shared" si="7"/>
        <v>0.61116883116883114</v>
      </c>
      <c r="G50" s="18">
        <f t="shared" si="7"/>
        <v>0.60337662337662334</v>
      </c>
      <c r="H50" s="18">
        <f t="shared" si="7"/>
        <v>0.26753246753246751</v>
      </c>
    </row>
    <row r="51" spans="1:8" ht="15.75" x14ac:dyDescent="0.25">
      <c r="A51" s="7">
        <v>64</v>
      </c>
      <c r="B51" s="47">
        <v>624500</v>
      </c>
      <c r="C51" s="8">
        <f t="shared" si="6"/>
        <v>160185.64303846163</v>
      </c>
      <c r="D51" s="9">
        <f t="shared" si="8"/>
        <v>784685.64303846168</v>
      </c>
      <c r="E51" s="10">
        <f t="shared" si="9"/>
        <v>780</v>
      </c>
      <c r="F51" s="18">
        <f t="shared" si="7"/>
        <v>0.60333333333333339</v>
      </c>
      <c r="G51" s="18">
        <f t="shared" si="7"/>
        <v>0.59564102564102561</v>
      </c>
      <c r="H51" s="18">
        <f t="shared" si="7"/>
        <v>0.26410256410256411</v>
      </c>
    </row>
    <row r="52" spans="1:8" ht="15.75" x14ac:dyDescent="0.25">
      <c r="A52" s="7">
        <v>65</v>
      </c>
      <c r="B52" s="47">
        <v>635400</v>
      </c>
      <c r="C52" s="8">
        <f t="shared" si="6"/>
        <v>162957.62287692315</v>
      </c>
      <c r="D52" s="9">
        <f t="shared" si="8"/>
        <v>798357.62287692318</v>
      </c>
      <c r="E52" s="10">
        <f t="shared" si="9"/>
        <v>800</v>
      </c>
      <c r="F52" s="18">
        <f t="shared" si="7"/>
        <v>0.58825000000000005</v>
      </c>
      <c r="G52" s="18">
        <f t="shared" si="7"/>
        <v>0.58074999999999999</v>
      </c>
      <c r="H52" s="18">
        <f t="shared" si="7"/>
        <v>0.25750000000000001</v>
      </c>
    </row>
    <row r="53" spans="1:8" ht="15.75" x14ac:dyDescent="0.25">
      <c r="A53" s="7">
        <v>66</v>
      </c>
      <c r="B53" s="47">
        <v>646000</v>
      </c>
      <c r="C53" s="8">
        <f t="shared" si="6"/>
        <v>165653.30969230778</v>
      </c>
      <c r="D53" s="9">
        <f t="shared" si="8"/>
        <v>811653.30969230784</v>
      </c>
      <c r="E53" s="10">
        <f t="shared" si="9"/>
        <v>810</v>
      </c>
      <c r="F53" s="18">
        <f t="shared" si="7"/>
        <v>0.58098765432098765</v>
      </c>
      <c r="G53" s="18">
        <f t="shared" si="7"/>
        <v>0.57358024691358023</v>
      </c>
      <c r="H53" s="18">
        <f t="shared" si="7"/>
        <v>0.25432098765432098</v>
      </c>
    </row>
    <row r="54" spans="1:8" ht="15.75" x14ac:dyDescent="0.25">
      <c r="A54" s="7">
        <v>67</v>
      </c>
      <c r="B54" s="47">
        <v>657300</v>
      </c>
      <c r="C54" s="8">
        <f t="shared" si="6"/>
        <v>168527.01356153854</v>
      </c>
      <c r="D54" s="9">
        <f t="shared" si="8"/>
        <v>825827.01356153854</v>
      </c>
      <c r="E54" s="10">
        <f t="shared" si="9"/>
        <v>830</v>
      </c>
      <c r="F54" s="18">
        <f t="shared" si="7"/>
        <v>0.56698795180722894</v>
      </c>
      <c r="G54" s="18">
        <f t="shared" si="7"/>
        <v>0.55975903614457834</v>
      </c>
      <c r="H54" s="18">
        <f t="shared" si="7"/>
        <v>0.24819277108433735</v>
      </c>
    </row>
    <row r="55" spans="1:8" ht="15.75" x14ac:dyDescent="0.25">
      <c r="A55" s="7">
        <v>68</v>
      </c>
      <c r="B55" s="47">
        <v>667700</v>
      </c>
      <c r="C55" s="8">
        <f t="shared" si="6"/>
        <v>171171.83836153854</v>
      </c>
      <c r="D55" s="9">
        <f t="shared" si="8"/>
        <v>838871.83836153848</v>
      </c>
      <c r="E55" s="10">
        <f t="shared" si="9"/>
        <v>840</v>
      </c>
      <c r="F55" s="18">
        <f t="shared" si="7"/>
        <v>0.5602380952380952</v>
      </c>
      <c r="G55" s="18">
        <f t="shared" si="7"/>
        <v>0.55309523809523808</v>
      </c>
      <c r="H55" s="18">
        <f t="shared" si="7"/>
        <v>0.24523809523809523</v>
      </c>
    </row>
    <row r="56" spans="1:8" ht="15.75" x14ac:dyDescent="0.25">
      <c r="A56" s="7">
        <v>69</v>
      </c>
      <c r="B56" s="47">
        <v>679700</v>
      </c>
      <c r="C56" s="8">
        <f t="shared" si="6"/>
        <v>174223.55928461548</v>
      </c>
      <c r="D56" s="9">
        <f t="shared" si="8"/>
        <v>853923.55928461545</v>
      </c>
      <c r="E56" s="10">
        <f t="shared" si="9"/>
        <v>850</v>
      </c>
      <c r="F56" s="18">
        <f t="shared" si="7"/>
        <v>0.55364705882352938</v>
      </c>
      <c r="G56" s="18">
        <f t="shared" si="7"/>
        <v>0.5465882352941176</v>
      </c>
      <c r="H56" s="18">
        <f t="shared" si="7"/>
        <v>0.24235294117647058</v>
      </c>
    </row>
    <row r="57" spans="1:8" ht="15.75" x14ac:dyDescent="0.25">
      <c r="A57" s="7">
        <v>70</v>
      </c>
      <c r="B57" s="47">
        <v>692400</v>
      </c>
      <c r="C57" s="8">
        <f t="shared" si="6"/>
        <v>177453.29726153857</v>
      </c>
      <c r="D57" s="9">
        <f t="shared" si="8"/>
        <v>869853.29726153857</v>
      </c>
      <c r="E57" s="10">
        <f t="shared" si="9"/>
        <v>870</v>
      </c>
      <c r="F57" s="18">
        <f t="shared" si="7"/>
        <v>0.54091954022988509</v>
      </c>
      <c r="G57" s="18">
        <f t="shared" si="7"/>
        <v>0.53402298850574714</v>
      </c>
      <c r="H57" s="18">
        <f t="shared" si="7"/>
        <v>0.23678160919540231</v>
      </c>
    </row>
    <row r="58" spans="1:8" ht="15.75" x14ac:dyDescent="0.25">
      <c r="A58" s="7">
        <v>71</v>
      </c>
      <c r="B58" s="47">
        <v>708000</v>
      </c>
      <c r="C58" s="8">
        <f t="shared" si="6"/>
        <v>181420.53446153857</v>
      </c>
      <c r="D58" s="9">
        <f t="shared" si="8"/>
        <v>889420.53446153854</v>
      </c>
      <c r="E58" s="10">
        <f t="shared" si="9"/>
        <v>890</v>
      </c>
      <c r="F58" s="18">
        <f t="shared" si="7"/>
        <v>0.52876404494382023</v>
      </c>
      <c r="G58" s="18">
        <f t="shared" si="7"/>
        <v>0.52202247191011231</v>
      </c>
      <c r="H58" s="18">
        <f t="shared" si="7"/>
        <v>0.23146067415730337</v>
      </c>
    </row>
    <row r="59" spans="1:8" ht="15.75" x14ac:dyDescent="0.25">
      <c r="A59" s="7">
        <v>72</v>
      </c>
      <c r="B59" s="47">
        <v>720100</v>
      </c>
      <c r="C59" s="8">
        <f t="shared" si="6"/>
        <v>184497.68639230778</v>
      </c>
      <c r="D59" s="9">
        <f t="shared" si="8"/>
        <v>904597.68639230775</v>
      </c>
      <c r="E59" s="10">
        <f t="shared" si="9"/>
        <v>900</v>
      </c>
      <c r="F59" s="18">
        <f t="shared" si="7"/>
        <v>0.52288888888888885</v>
      </c>
      <c r="G59" s="18">
        <f t="shared" si="7"/>
        <v>0.51622222222222225</v>
      </c>
      <c r="H59" s="18">
        <f t="shared" si="7"/>
        <v>0.22888888888888889</v>
      </c>
    </row>
    <row r="60" spans="1:8" ht="15.75" x14ac:dyDescent="0.25">
      <c r="A60" s="7">
        <v>73</v>
      </c>
      <c r="B60" s="47">
        <v>732300</v>
      </c>
      <c r="C60" s="8">
        <f t="shared" si="6"/>
        <v>187600.26933076934</v>
      </c>
      <c r="D60" s="9">
        <f t="shared" si="8"/>
        <v>919900.26933076931</v>
      </c>
      <c r="E60" s="10">
        <f t="shared" si="9"/>
        <v>920</v>
      </c>
      <c r="F60" s="18">
        <f t="shared" si="7"/>
        <v>0.51152173913043475</v>
      </c>
      <c r="G60" s="18">
        <f t="shared" si="7"/>
        <v>0.505</v>
      </c>
      <c r="H60" s="18">
        <f t="shared" si="7"/>
        <v>0.22391304347826088</v>
      </c>
    </row>
    <row r="61" spans="1:8" ht="15.75" x14ac:dyDescent="0.25">
      <c r="A61" s="7">
        <v>74</v>
      </c>
      <c r="B61" s="47">
        <v>745000</v>
      </c>
      <c r="C61" s="8">
        <f t="shared" si="6"/>
        <v>190830.0073076924</v>
      </c>
      <c r="D61" s="9">
        <f t="shared" si="8"/>
        <v>935830.00730769243</v>
      </c>
      <c r="E61" s="10">
        <f t="shared" si="9"/>
        <v>940</v>
      </c>
      <c r="F61" s="18">
        <f t="shared" si="7"/>
        <v>0.50063829787234038</v>
      </c>
      <c r="G61" s="18">
        <f t="shared" si="7"/>
        <v>0.49425531914893617</v>
      </c>
      <c r="H61" s="18">
        <f t="shared" si="7"/>
        <v>0.21914893617021278</v>
      </c>
    </row>
    <row r="62" spans="1:8" ht="15.75" x14ac:dyDescent="0.25">
      <c r="A62" s="7">
        <v>75</v>
      </c>
      <c r="B62" s="47">
        <v>759100</v>
      </c>
      <c r="C62" s="8">
        <f t="shared" si="6"/>
        <v>195337.91785384627</v>
      </c>
      <c r="D62" s="9">
        <f t="shared" si="8"/>
        <v>954437.91785384621</v>
      </c>
      <c r="E62" s="10">
        <f t="shared" si="9"/>
        <v>950</v>
      </c>
      <c r="F62" s="18">
        <f t="shared" si="7"/>
        <v>0.49536842105263157</v>
      </c>
      <c r="G62" s="18">
        <f t="shared" si="7"/>
        <v>0.48905263157894735</v>
      </c>
      <c r="H62" s="18">
        <f t="shared" si="7"/>
        <v>0.21684210526315789</v>
      </c>
    </row>
    <row r="63" spans="1:8" ht="15.75" x14ac:dyDescent="0.25">
      <c r="A63" s="7">
        <v>76</v>
      </c>
      <c r="B63" s="47">
        <v>777900</v>
      </c>
      <c r="C63" s="8">
        <f t="shared" si="6"/>
        <v>201070.51653076932</v>
      </c>
      <c r="D63" s="9">
        <f t="shared" si="8"/>
        <v>978970.5165307693</v>
      </c>
      <c r="E63" s="10">
        <f t="shared" si="9"/>
        <v>980</v>
      </c>
      <c r="F63" s="18">
        <f t="shared" si="7"/>
        <v>0.48020408163265305</v>
      </c>
      <c r="G63" s="18">
        <f t="shared" si="7"/>
        <v>0.47408163265306125</v>
      </c>
      <c r="H63" s="18">
        <f t="shared" si="7"/>
        <v>0.21020408163265306</v>
      </c>
    </row>
    <row r="64" spans="1:8" ht="15.75" x14ac:dyDescent="0.25">
      <c r="A64" s="7">
        <v>77</v>
      </c>
      <c r="B64" s="47">
        <v>796600</v>
      </c>
      <c r="C64" s="8">
        <f t="shared" si="6"/>
        <v>206772.62266153857</v>
      </c>
      <c r="D64" s="9">
        <f t="shared" si="8"/>
        <v>1003372.6226615385</v>
      </c>
      <c r="E64" s="10">
        <f t="shared" si="9"/>
        <v>1000</v>
      </c>
      <c r="F64" s="18">
        <f t="shared" si="7"/>
        <v>0.47060000000000002</v>
      </c>
      <c r="G64" s="18">
        <f t="shared" si="7"/>
        <v>0.46460000000000001</v>
      </c>
      <c r="H64" s="18">
        <f t="shared" si="7"/>
        <v>0.20599999999999999</v>
      </c>
    </row>
    <row r="65" spans="1:8" ht="15.75" x14ac:dyDescent="0.25">
      <c r="A65" s="7">
        <v>78</v>
      </c>
      <c r="B65" s="47">
        <v>821100</v>
      </c>
      <c r="C65" s="8">
        <f t="shared" si="6"/>
        <v>214243.29646923087</v>
      </c>
      <c r="D65" s="9">
        <f t="shared" si="8"/>
        <v>1035343.2964692309</v>
      </c>
      <c r="E65" s="10">
        <f t="shared" si="9"/>
        <v>1040</v>
      </c>
      <c r="F65" s="18">
        <f t="shared" si="7"/>
        <v>0.45250000000000001</v>
      </c>
      <c r="G65" s="18">
        <f t="shared" si="7"/>
        <v>0.44673076923076921</v>
      </c>
      <c r="H65" s="18">
        <f t="shared" si="7"/>
        <v>0.19807692307692307</v>
      </c>
    </row>
    <row r="66" spans="1:8" ht="15.75" x14ac:dyDescent="0.25">
      <c r="A66" s="7">
        <v>79</v>
      </c>
      <c r="B66" s="47">
        <v>845900</v>
      </c>
      <c r="C66" s="8">
        <f t="shared" si="6"/>
        <v>221805.44791538472</v>
      </c>
      <c r="D66" s="9">
        <f t="shared" si="8"/>
        <v>1067705.4479153848</v>
      </c>
      <c r="E66" s="10">
        <f t="shared" si="9"/>
        <v>1070</v>
      </c>
      <c r="F66" s="18">
        <f t="shared" si="7"/>
        <v>0.43981308411214953</v>
      </c>
      <c r="G66" s="18">
        <f t="shared" si="7"/>
        <v>0.4342056074766355</v>
      </c>
      <c r="H66" s="18">
        <f t="shared" si="7"/>
        <v>0.19252336448598131</v>
      </c>
    </row>
    <row r="67" spans="1:8" ht="15.75" x14ac:dyDescent="0.25">
      <c r="A67" s="7">
        <v>80</v>
      </c>
      <c r="B67" s="47">
        <v>870900</v>
      </c>
      <c r="C67" s="8">
        <f t="shared" si="6"/>
        <v>229428.58445384627</v>
      </c>
      <c r="D67" s="9">
        <f t="shared" si="8"/>
        <v>1100328.5844538463</v>
      </c>
      <c r="E67" s="10">
        <f t="shared" si="9"/>
        <v>1100</v>
      </c>
      <c r="F67" s="18">
        <f t="shared" si="7"/>
        <v>0.42781818181818182</v>
      </c>
      <c r="G67" s="18">
        <f t="shared" si="7"/>
        <v>0.42236363636363639</v>
      </c>
      <c r="H67" s="18">
        <f t="shared" si="7"/>
        <v>0.18727272727272729</v>
      </c>
    </row>
    <row r="68" spans="1:8" ht="15.75" x14ac:dyDescent="0.25">
      <c r="A68" s="7">
        <v>81</v>
      </c>
      <c r="B68" s="47">
        <v>895500</v>
      </c>
      <c r="C68" s="8">
        <f t="shared" si="6"/>
        <v>236929.75080769244</v>
      </c>
      <c r="D68" s="9">
        <f t="shared" si="8"/>
        <v>1132429.7508076925</v>
      </c>
      <c r="E68" s="10">
        <f t="shared" si="9"/>
        <v>1130</v>
      </c>
      <c r="F68" s="18">
        <f t="shared" si="7"/>
        <v>0.41646017699115045</v>
      </c>
      <c r="G68" s="18">
        <f t="shared" si="7"/>
        <v>0.41115044247787613</v>
      </c>
      <c r="H68" s="18">
        <f t="shared" si="7"/>
        <v>0.18230088495575222</v>
      </c>
    </row>
    <row r="69" spans="1:8" ht="15.75" x14ac:dyDescent="0.25">
      <c r="A69" s="7">
        <v>82</v>
      </c>
      <c r="B69" s="47">
        <v>919200</v>
      </c>
      <c r="C69" s="8">
        <f t="shared" si="6"/>
        <v>244156.48424615397</v>
      </c>
      <c r="D69" s="9">
        <f t="shared" si="8"/>
        <v>1163356.4842461539</v>
      </c>
      <c r="E69" s="10">
        <f t="shared" si="9"/>
        <v>1160</v>
      </c>
      <c r="F69" s="18">
        <f t="shared" si="7"/>
        <v>0.40568965517241379</v>
      </c>
      <c r="G69" s="18">
        <f t="shared" si="7"/>
        <v>0.40051724137931033</v>
      </c>
      <c r="H69" s="18">
        <f t="shared" si="7"/>
        <v>0.17758620689655172</v>
      </c>
    </row>
    <row r="70" spans="1:8" ht="15.75" x14ac:dyDescent="0.25">
      <c r="A70" s="7">
        <v>83</v>
      </c>
      <c r="B70" s="47">
        <v>942700</v>
      </c>
      <c r="C70" s="8">
        <f t="shared" ref="C70:C88" si="10">IF(B70&lt;$K$17,(B70*$L$14)+1369,((B70*$L$14)+1369)+((B70*(SUM($L$7:$L$8)/$L$6))-$K$17)*$K$23)</f>
        <v>251322.23259230782</v>
      </c>
      <c r="D70" s="9">
        <f t="shared" si="8"/>
        <v>1194022.2325923077</v>
      </c>
      <c r="E70" s="10">
        <f t="shared" si="9"/>
        <v>1190</v>
      </c>
      <c r="F70" s="18">
        <f t="shared" si="7"/>
        <v>0.39546218487394957</v>
      </c>
      <c r="G70" s="18">
        <f t="shared" si="7"/>
        <v>0.3904201680672269</v>
      </c>
      <c r="H70" s="18">
        <f t="shared" si="7"/>
        <v>0.17310924369747899</v>
      </c>
    </row>
    <row r="71" spans="1:8" ht="15.75" x14ac:dyDescent="0.25">
      <c r="A71" s="7">
        <v>84</v>
      </c>
      <c r="B71" s="47">
        <v>966300</v>
      </c>
      <c r="C71" s="8">
        <f t="shared" si="10"/>
        <v>258518.4734846155</v>
      </c>
      <c r="D71" s="9">
        <f t="shared" si="8"/>
        <v>1224818.4734846156</v>
      </c>
      <c r="E71" s="10">
        <f t="shared" si="9"/>
        <v>1220</v>
      </c>
      <c r="F71" s="18">
        <f t="shared" ref="F71:H88" si="11">F$3/($E71*1000)</f>
        <v>0.38573770491803278</v>
      </c>
      <c r="G71" s="18">
        <f t="shared" si="11"/>
        <v>0.38081967213114754</v>
      </c>
      <c r="H71" s="18">
        <f t="shared" si="11"/>
        <v>0.16885245901639345</v>
      </c>
    </row>
    <row r="72" spans="1:8" ht="15.75" x14ac:dyDescent="0.25">
      <c r="A72" s="7">
        <v>85</v>
      </c>
      <c r="B72" s="47">
        <v>996000</v>
      </c>
      <c r="C72" s="8">
        <f t="shared" si="10"/>
        <v>267574.75969230785</v>
      </c>
      <c r="D72" s="9">
        <f t="shared" si="8"/>
        <v>1263574.7596923078</v>
      </c>
      <c r="E72" s="10">
        <f t="shared" si="9"/>
        <v>1260</v>
      </c>
      <c r="F72" s="18">
        <f t="shared" si="11"/>
        <v>0.37349206349206349</v>
      </c>
      <c r="G72" s="18">
        <f t="shared" si="11"/>
        <v>0.36873015873015874</v>
      </c>
      <c r="H72" s="18">
        <f t="shared" si="11"/>
        <v>0.16349206349206349</v>
      </c>
    </row>
    <row r="73" spans="1:8" ht="15.75" x14ac:dyDescent="0.25">
      <c r="A73" s="7">
        <v>86</v>
      </c>
      <c r="B73" s="47">
        <v>1025200</v>
      </c>
      <c r="C73" s="8">
        <f t="shared" si="10"/>
        <v>276478.5831692309</v>
      </c>
      <c r="D73" s="9">
        <f t="shared" si="8"/>
        <v>1301678.583169231</v>
      </c>
      <c r="E73" s="10">
        <f t="shared" si="9"/>
        <v>1300</v>
      </c>
      <c r="F73" s="18">
        <f t="shared" si="11"/>
        <v>0.36199999999999999</v>
      </c>
      <c r="G73" s="18">
        <f t="shared" si="11"/>
        <v>0.35738461538461541</v>
      </c>
      <c r="H73" s="18">
        <f t="shared" si="11"/>
        <v>0.15846153846153846</v>
      </c>
    </row>
    <row r="74" spans="1:8" ht="15.75" x14ac:dyDescent="0.25">
      <c r="A74" s="7">
        <v>87</v>
      </c>
      <c r="B74" s="47">
        <v>1055200</v>
      </c>
      <c r="C74" s="8">
        <f t="shared" si="10"/>
        <v>285626.34701538476</v>
      </c>
      <c r="D74" s="9">
        <f t="shared" si="8"/>
        <v>1340826.3470153848</v>
      </c>
      <c r="E74" s="10">
        <f t="shared" si="9"/>
        <v>1340</v>
      </c>
      <c r="F74" s="18">
        <f t="shared" si="11"/>
        <v>0.35119402985074627</v>
      </c>
      <c r="G74" s="18">
        <f t="shared" si="11"/>
        <v>0.34671641791044777</v>
      </c>
      <c r="H74" s="18">
        <f t="shared" si="11"/>
        <v>0.15373134328358209</v>
      </c>
    </row>
    <row r="75" spans="1:8" ht="15.75" x14ac:dyDescent="0.25">
      <c r="A75" s="7">
        <v>88</v>
      </c>
      <c r="B75" s="47">
        <v>1078600</v>
      </c>
      <c r="C75" s="8">
        <f t="shared" si="10"/>
        <v>292761.60281538474</v>
      </c>
      <c r="D75" s="9">
        <f t="shared" si="8"/>
        <v>1371361.6028153847</v>
      </c>
      <c r="E75" s="10">
        <f t="shared" si="9"/>
        <v>1370</v>
      </c>
      <c r="F75" s="18">
        <f t="shared" si="11"/>
        <v>0.34350364963503649</v>
      </c>
      <c r="G75" s="18">
        <f t="shared" si="11"/>
        <v>0.33912408759124085</v>
      </c>
      <c r="H75" s="18">
        <f t="shared" si="11"/>
        <v>0.15036496350364964</v>
      </c>
    </row>
    <row r="76" spans="1:8" ht="15.75" x14ac:dyDescent="0.25">
      <c r="A76" s="7">
        <v>89</v>
      </c>
      <c r="B76" s="47">
        <v>1102200</v>
      </c>
      <c r="C76" s="8">
        <f t="shared" si="10"/>
        <v>299957.84370769246</v>
      </c>
      <c r="D76" s="9">
        <f t="shared" si="8"/>
        <v>1402157.8437076923</v>
      </c>
      <c r="E76" s="10">
        <f t="shared" si="9"/>
        <v>1400</v>
      </c>
      <c r="F76" s="18">
        <f t="shared" si="11"/>
        <v>0.33614285714285713</v>
      </c>
      <c r="G76" s="18">
        <f t="shared" si="11"/>
        <v>0.33185714285714285</v>
      </c>
      <c r="H76" s="18">
        <f t="shared" si="11"/>
        <v>0.14714285714285713</v>
      </c>
    </row>
    <row r="77" spans="1:8" ht="15.75" x14ac:dyDescent="0.25">
      <c r="A77" s="7">
        <v>90</v>
      </c>
      <c r="B77" s="47">
        <v>1125800</v>
      </c>
      <c r="C77" s="8">
        <f t="shared" si="10"/>
        <v>307154.08460000012</v>
      </c>
      <c r="D77" s="9">
        <f t="shared" si="8"/>
        <v>1432954.0846000002</v>
      </c>
      <c r="E77" s="10">
        <f t="shared" si="9"/>
        <v>1430</v>
      </c>
      <c r="F77" s="18">
        <f t="shared" si="11"/>
        <v>0.3290909090909091</v>
      </c>
      <c r="G77" s="18">
        <f t="shared" si="11"/>
        <v>0.32489510489510487</v>
      </c>
      <c r="H77" s="18">
        <f t="shared" si="11"/>
        <v>0.14405594405594405</v>
      </c>
    </row>
    <row r="78" spans="1:8" ht="15.75" x14ac:dyDescent="0.25">
      <c r="A78" s="7">
        <v>91</v>
      </c>
      <c r="B78" s="47">
        <v>1149700</v>
      </c>
      <c r="C78" s="8">
        <f t="shared" si="10"/>
        <v>314441.8031307694</v>
      </c>
      <c r="D78" s="9">
        <f t="shared" si="8"/>
        <v>1464141.8031307694</v>
      </c>
      <c r="E78" s="10">
        <f t="shared" si="9"/>
        <v>1460</v>
      </c>
      <c r="F78" s="18">
        <f t="shared" si="11"/>
        <v>0.32232876712328767</v>
      </c>
      <c r="G78" s="18">
        <f t="shared" si="11"/>
        <v>0.3182191780821918</v>
      </c>
      <c r="H78" s="18">
        <f t="shared" si="11"/>
        <v>0.14109589041095891</v>
      </c>
    </row>
    <row r="79" spans="1:8" ht="15.75" x14ac:dyDescent="0.25">
      <c r="A79" s="7">
        <v>92</v>
      </c>
      <c r="B79" s="47">
        <v>1173100</v>
      </c>
      <c r="C79" s="8">
        <f t="shared" si="10"/>
        <v>321577.05893076939</v>
      </c>
      <c r="D79" s="9">
        <f t="shared" si="8"/>
        <v>1494677.0589307693</v>
      </c>
      <c r="E79" s="10">
        <f t="shared" si="9"/>
        <v>1490</v>
      </c>
      <c r="F79" s="18">
        <f t="shared" si="11"/>
        <v>0.31583892617449666</v>
      </c>
      <c r="G79" s="18">
        <f t="shared" si="11"/>
        <v>0.31181208053691273</v>
      </c>
      <c r="H79" s="18">
        <f t="shared" si="11"/>
        <v>0.13825503355704699</v>
      </c>
    </row>
    <row r="80" spans="1:8" ht="15.75" x14ac:dyDescent="0.25">
      <c r="A80" s="7">
        <v>93</v>
      </c>
      <c r="B80" s="47">
        <v>1196800</v>
      </c>
      <c r="C80" s="8">
        <f t="shared" si="10"/>
        <v>328803.79236923094</v>
      </c>
      <c r="D80" s="9">
        <f t="shared" si="8"/>
        <v>1525603.7923692309</v>
      </c>
      <c r="E80" s="10">
        <f t="shared" si="9"/>
        <v>1530</v>
      </c>
      <c r="F80" s="18">
        <f t="shared" si="11"/>
        <v>0.30758169934640522</v>
      </c>
      <c r="G80" s="18">
        <f t="shared" si="11"/>
        <v>0.30366013071895426</v>
      </c>
      <c r="H80" s="18">
        <f t="shared" si="11"/>
        <v>0.13464052287581699</v>
      </c>
    </row>
    <row r="81" spans="1:8" ht="15.75" x14ac:dyDescent="0.25">
      <c r="A81" s="7">
        <v>94</v>
      </c>
      <c r="B81" s="47">
        <v>1220400</v>
      </c>
      <c r="C81" s="8">
        <f t="shared" si="10"/>
        <v>336000.03326153866</v>
      </c>
      <c r="D81" s="9">
        <f t="shared" si="8"/>
        <v>1556400.0332615387</v>
      </c>
      <c r="E81" s="10">
        <f t="shared" si="9"/>
        <v>1560</v>
      </c>
      <c r="F81" s="18">
        <f t="shared" si="11"/>
        <v>0.30166666666666669</v>
      </c>
      <c r="G81" s="18">
        <f t="shared" si="11"/>
        <v>0.29782051282051281</v>
      </c>
      <c r="H81" s="18">
        <f t="shared" si="11"/>
        <v>0.13205128205128205</v>
      </c>
    </row>
    <row r="82" spans="1:8" ht="15.75" x14ac:dyDescent="0.25">
      <c r="A82" s="7">
        <v>95</v>
      </c>
      <c r="B82" s="47">
        <v>1244200</v>
      </c>
      <c r="C82" s="8">
        <f t="shared" si="10"/>
        <v>343257.25924615399</v>
      </c>
      <c r="D82" s="9">
        <f t="shared" si="8"/>
        <v>1587457.259246154</v>
      </c>
      <c r="E82" s="10">
        <f t="shared" si="9"/>
        <v>1590</v>
      </c>
      <c r="F82" s="18">
        <f t="shared" si="11"/>
        <v>0.29597484276729558</v>
      </c>
      <c r="G82" s="18">
        <f t="shared" si="11"/>
        <v>0.2922012578616352</v>
      </c>
      <c r="H82" s="18">
        <f t="shared" si="11"/>
        <v>0.12955974842767295</v>
      </c>
    </row>
    <row r="83" spans="1:8" ht="15.75" x14ac:dyDescent="0.25">
      <c r="A83" s="7">
        <v>96</v>
      </c>
      <c r="B83" s="47">
        <v>1267300</v>
      </c>
      <c r="C83" s="8">
        <f t="shared" si="10"/>
        <v>350301.03740769246</v>
      </c>
      <c r="D83" s="9">
        <f t="shared" si="8"/>
        <v>1617601.0374076925</v>
      </c>
      <c r="E83" s="10">
        <f t="shared" si="9"/>
        <v>1620</v>
      </c>
      <c r="F83" s="18">
        <f t="shared" si="11"/>
        <v>0.29049382716049382</v>
      </c>
      <c r="G83" s="18">
        <f t="shared" si="11"/>
        <v>0.28679012345679011</v>
      </c>
      <c r="H83" s="18">
        <f t="shared" si="11"/>
        <v>0.12716049382716049</v>
      </c>
    </row>
    <row r="84" spans="1:8" ht="15.75" x14ac:dyDescent="0.25">
      <c r="A84" s="7">
        <v>97</v>
      </c>
      <c r="B84" s="47">
        <v>1290500</v>
      </c>
      <c r="C84" s="8">
        <f t="shared" si="10"/>
        <v>357375.30811538483</v>
      </c>
      <c r="D84" s="9">
        <f t="shared" si="8"/>
        <v>1647875.3081153848</v>
      </c>
      <c r="E84" s="10">
        <f t="shared" si="9"/>
        <v>1650</v>
      </c>
      <c r="F84" s="18">
        <f t="shared" si="11"/>
        <v>0.28521212121212119</v>
      </c>
      <c r="G84" s="18">
        <f t="shared" si="11"/>
        <v>0.28157575757575759</v>
      </c>
      <c r="H84" s="18">
        <f t="shared" si="11"/>
        <v>0.12484848484848485</v>
      </c>
    </row>
    <row r="85" spans="1:8" ht="15.75" x14ac:dyDescent="0.25">
      <c r="A85" s="7">
        <v>98</v>
      </c>
      <c r="B85" s="47">
        <v>1313600</v>
      </c>
      <c r="C85" s="8">
        <f t="shared" si="10"/>
        <v>364419.08627692325</v>
      </c>
      <c r="D85" s="9">
        <f t="shared" si="8"/>
        <v>1678019.0862769233</v>
      </c>
      <c r="E85" s="10">
        <f t="shared" si="9"/>
        <v>1680</v>
      </c>
      <c r="F85" s="18">
        <f t="shared" si="11"/>
        <v>0.2801190476190476</v>
      </c>
      <c r="G85" s="18">
        <f t="shared" si="11"/>
        <v>0.27654761904761904</v>
      </c>
      <c r="H85" s="18">
        <f t="shared" si="11"/>
        <v>0.12261904761904761</v>
      </c>
    </row>
    <row r="86" spans="1:8" ht="15.75" x14ac:dyDescent="0.25">
      <c r="A86" s="7">
        <v>99</v>
      </c>
      <c r="B86" s="47">
        <v>1335800</v>
      </c>
      <c r="C86" s="8">
        <f t="shared" si="10"/>
        <v>371188.43152307713</v>
      </c>
      <c r="D86" s="9">
        <f t="shared" si="8"/>
        <v>1706988.4315230772</v>
      </c>
      <c r="E86" s="10">
        <f t="shared" si="9"/>
        <v>1710</v>
      </c>
      <c r="F86" s="18">
        <f t="shared" si="11"/>
        <v>0.27520467836257312</v>
      </c>
      <c r="G86" s="18">
        <f t="shared" si="11"/>
        <v>0.27169590643274855</v>
      </c>
      <c r="H86" s="18">
        <f t="shared" si="11"/>
        <v>0.12046783625730995</v>
      </c>
    </row>
    <row r="87" spans="1:8" ht="15.75" x14ac:dyDescent="0.25">
      <c r="A87" s="7">
        <v>100</v>
      </c>
      <c r="B87" s="47">
        <v>1357900</v>
      </c>
      <c r="C87" s="8">
        <f t="shared" si="10"/>
        <v>377927.28422307712</v>
      </c>
      <c r="D87" s="9">
        <f t="shared" si="8"/>
        <v>1735827.2842230771</v>
      </c>
      <c r="E87" s="10">
        <f t="shared" si="9"/>
        <v>1740</v>
      </c>
      <c r="F87" s="18">
        <f t="shared" si="11"/>
        <v>0.27045977011494254</v>
      </c>
      <c r="G87" s="18">
        <f t="shared" si="11"/>
        <v>0.26701149425287357</v>
      </c>
      <c r="H87" s="18">
        <f t="shared" si="11"/>
        <v>0.11839080459770115</v>
      </c>
    </row>
    <row r="88" spans="1:8" ht="15.75" x14ac:dyDescent="0.25">
      <c r="A88" s="7">
        <v>101</v>
      </c>
      <c r="B88" s="47">
        <v>1380100</v>
      </c>
      <c r="C88" s="8">
        <f t="shared" si="10"/>
        <v>384696.62946923095</v>
      </c>
      <c r="D88" s="9">
        <f t="shared" si="8"/>
        <v>1764796.629469231</v>
      </c>
      <c r="E88" s="10">
        <f t="shared" si="9"/>
        <v>1760</v>
      </c>
      <c r="F88" s="18">
        <f t="shared" si="11"/>
        <v>0.26738636363636364</v>
      </c>
      <c r="G88" s="18">
        <f t="shared" si="11"/>
        <v>0.26397727272727273</v>
      </c>
      <c r="H88" s="18">
        <f t="shared" si="11"/>
        <v>0.11704545454545455</v>
      </c>
    </row>
  </sheetData>
  <sheetProtection algorithmName="SHA-512" hashValue="mqGh6xs6FBZekoDc7RGEUBgC4HmyHZBpodrFDz3xI4LAwvsGtiz4DI3aZAKiT456uqWy/C3e8jepyflCdy5reg==" saltValue="XQv9q6DQNrkdP0CAdn7dqQ==" spinCount="100000" sheet="1" objects="1" scenarios="1"/>
  <mergeCells count="3">
    <mergeCell ref="A2:E2"/>
    <mergeCell ref="F4:G4"/>
    <mergeCell ref="F2:H2"/>
  </mergeCells>
  <pageMargins left="0.7" right="0.7" top="0.75" bottom="0.75" header="0.3" footer="0.3"/>
  <pageSetup paperSize="9" scale="67" orientation="landscape" copies="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5F9E8-2BCB-4C61-83FB-6A9CCD55C622}">
  <dimension ref="A1:AJ46"/>
  <sheetViews>
    <sheetView zoomScale="80" zoomScaleNormal="80" workbookViewId="0">
      <selection activeCell="J6" sqref="J6"/>
    </sheetView>
  </sheetViews>
  <sheetFormatPr defaultRowHeight="15" outlineLevelRow="1" outlineLevelCol="1" x14ac:dyDescent="0.25"/>
  <cols>
    <col min="1" max="1" width="16.85546875" customWidth="1"/>
    <col min="2" max="2" width="12" bestFit="1" customWidth="1"/>
    <col min="3" max="3" width="12.140625" customWidth="1"/>
    <col min="4" max="5" width="11.85546875" customWidth="1"/>
    <col min="6" max="6" width="14.42578125" customWidth="1"/>
    <col min="7" max="7" width="13.42578125" customWidth="1"/>
    <col min="8" max="8" width="12.28515625" customWidth="1"/>
    <col min="9" max="9" width="10.140625" customWidth="1"/>
    <col min="10" max="10" width="11.28515625" bestFit="1" customWidth="1"/>
    <col min="11" max="11" width="11.42578125" customWidth="1"/>
    <col min="12" max="15" width="9.28515625" bestFit="1" customWidth="1"/>
    <col min="16" max="16" width="12.140625" bestFit="1" customWidth="1"/>
    <col min="17" max="17" width="11.85546875" customWidth="1" outlineLevel="1"/>
    <col min="18" max="34" width="9.140625" customWidth="1" outlineLevel="1"/>
    <col min="35" max="35" width="14.5703125" style="11" customWidth="1"/>
    <col min="36" max="36" width="13.5703125" style="11" customWidth="1"/>
    <col min="37" max="37" width="9.140625" customWidth="1"/>
  </cols>
  <sheetData>
    <row r="1" spans="1:36" x14ac:dyDescent="0.25">
      <c r="H1" s="23"/>
    </row>
    <row r="2" spans="1:36" ht="23.25" x14ac:dyDescent="0.35">
      <c r="A2" s="22" t="s">
        <v>329</v>
      </c>
      <c r="G2" s="23"/>
      <c r="AH2" s="11"/>
      <c r="AJ2"/>
    </row>
    <row r="3" spans="1:36" x14ac:dyDescent="0.25">
      <c r="F3" s="111" t="s">
        <v>394</v>
      </c>
      <c r="G3" s="111"/>
      <c r="H3" s="111" t="str">
        <f>IF(Prosjektopplysninger!B5&gt;0,_xlfn.NUMBERVALUE(LEFT(Prosjektopplysninger!B5,4)),"")</f>
        <v/>
      </c>
      <c r="I3" s="111"/>
      <c r="J3" s="111" t="e">
        <f>H3+1</f>
        <v>#VALUE!</v>
      </c>
      <c r="K3" s="111"/>
      <c r="L3" s="111" t="e">
        <f>(J3+1) &amp;" og senere"</f>
        <v>#VALUE!</v>
      </c>
      <c r="M3" s="111"/>
      <c r="N3" s="11"/>
      <c r="O3" s="11"/>
      <c r="AI3"/>
      <c r="AJ3"/>
    </row>
    <row r="4" spans="1:36" x14ac:dyDescent="0.25">
      <c r="A4" t="s">
        <v>0</v>
      </c>
      <c r="B4" t="s">
        <v>326</v>
      </c>
      <c r="C4" t="s">
        <v>2</v>
      </c>
      <c r="D4" t="s">
        <v>3</v>
      </c>
      <c r="E4" t="s">
        <v>330</v>
      </c>
      <c r="F4" t="s">
        <v>327</v>
      </c>
      <c r="G4" t="s">
        <v>328</v>
      </c>
      <c r="H4" t="s">
        <v>327</v>
      </c>
      <c r="I4" t="s">
        <v>328</v>
      </c>
      <c r="J4" t="s">
        <v>327</v>
      </c>
      <c r="K4" t="s">
        <v>328</v>
      </c>
      <c r="L4" t="s">
        <v>327</v>
      </c>
      <c r="M4" t="s">
        <v>328</v>
      </c>
      <c r="AI4"/>
      <c r="AJ4"/>
    </row>
    <row r="5" spans="1:36" x14ac:dyDescent="0.25">
      <c r="A5">
        <f>Kostnadsbudsjett!E19</f>
        <v>0</v>
      </c>
      <c r="B5">
        <f>Kostnadsbudsjett!F19</f>
        <v>0</v>
      </c>
      <c r="C5">
        <f>Kostnadsbudsjett!A19</f>
        <v>0</v>
      </c>
      <c r="D5" t="str">
        <f>IFERROR(_xlfn.XLOOKUP(Kostnadsbudsjett!H19,'Lønnstrinn -&gt; Lønnsbånd'!$B$6:$B$88,'Lønnstrinn -&gt; Lønnsbånd'!$E$6:$E$88,,1,),"")</f>
        <v/>
      </c>
      <c r="E5" s="18" t="str">
        <f>IFERROR(IF(Kostnadsbudsjett!K19='Oppslag-fane'!$N$7,Kostnadsbudsjett!L19/100,
IF(Kostnadsbudsjett!K19='Oppslag-fane'!$N$5,Kostnadsbudsjett!L19/(1628/12),
Kostnadsbudsjett!L19/((1628/12)*F24))),"")</f>
        <v/>
      </c>
      <c r="F5" s="20" t="e">
        <f>H5+J5+L5</f>
        <v>#VALUE!</v>
      </c>
      <c r="G5" s="20">
        <f>I5+K5+M5</f>
        <v>0</v>
      </c>
      <c r="H5" s="8">
        <f>IF(_xlfn.NUMBERVALUE($B24)=H$3,IF(_xlfn.NUMBERVALUE(D24)&gt;$H$3,((13-C24)/12)*H24*E5,((_xlfn.NUMBERVALUE(E24)-_xlfn.NUMBERVALUE(C24)+1)/12)*H24*$E5),0)</f>
        <v>0</v>
      </c>
      <c r="I5" s="8">
        <f>IFERROR(IF($B5="Vitenskapelig",_xlfn.XLOOKUP($D5,'Lønnstrinn -&gt; Lønnsbånd'!$E$6:$E$88,'Lønnstrinn -&gt; Lønnsbånd'!$G$6:$G$88,,,)*'Hjelpeberegn_pers og husleie'!H5,_xlfn.XLOOKUP($D5,'Lønnstrinn -&gt; Lønnsbånd'!$E$6:$E$88,'Lønnstrinn -&gt; Lønnsbånd'!$H$6:$H$88,,,)*'Hjelpeberegn_pers og husleie'!H5),0)</f>
        <v>0</v>
      </c>
      <c r="J5" s="8">
        <f>IFERROR(IF(_xlfn.NUMBERVALUE($D24)=$H$3,,IF(_xlfn.NUMBERVALUE($B24)=J$3,(((13-_xlfn.NUMBERVALUE(C24))/12)*I24*E5),
IF(_xlfn.NUMBERVALUE($D24)&gt;J$3,I24*E5,(_xlfn.NUMBERVALUE(E24)/12)*I24*E5))),0)</f>
        <v>0</v>
      </c>
      <c r="K5" s="8">
        <f>IFERROR(IF($B5="Vitenskapelig",_xlfn.XLOOKUP($D5,'Lønnstrinn -&gt; Lønnsbånd'!$E$6:$E$88,'Lønnstrinn -&gt; Lønnsbånd'!$G$6:$G$88,,,)*'Hjelpeberegn_pers og husleie'!J5,_xlfn.XLOOKUP($D5,'Lønnstrinn -&gt; Lønnsbånd'!$E$6:$E$88,'Lønnstrinn -&gt; Lønnsbånd'!$H$6:$H$88,,,)*'Hjelpeberegn_pers og husleie'!J5),0)</f>
        <v>0</v>
      </c>
      <c r="L5" s="8" t="e">
        <f>IF(_xlfn.NUMBERVALUE(D24)&lt;=$J$3,0,(G24/12)*J24*$E5)</f>
        <v>#VALUE!</v>
      </c>
      <c r="M5" s="8">
        <f>IFERROR(IF($B5="Vitenskapelig",_xlfn.XLOOKUP($D5,'Lønnstrinn -&gt; Lønnsbånd'!$E$6:$E$88,'Lønnstrinn -&gt; Lønnsbånd'!$G$6:$G$88,,,)*'Hjelpeberegn_pers og husleie'!L5,_xlfn.XLOOKUP($D5,'Lønnstrinn -&gt; Lønnsbånd'!$E$6:$E$88,'Lønnstrinn -&gt; Lønnsbånd'!$H$6:$H$88,,,)*'Hjelpeberegn_pers og husleie'!L5),0)</f>
        <v>0</v>
      </c>
      <c r="N5" s="8"/>
      <c r="O5" s="16"/>
      <c r="P5" s="16"/>
      <c r="Q5" s="16"/>
      <c r="R5" s="16"/>
      <c r="S5" s="16"/>
      <c r="AI5"/>
      <c r="AJ5"/>
    </row>
    <row r="6" spans="1:36" x14ac:dyDescent="0.25">
      <c r="A6">
        <f>Kostnadsbudsjett!E20</f>
        <v>0</v>
      </c>
      <c r="B6">
        <f>Kostnadsbudsjett!F20</f>
        <v>0</v>
      </c>
      <c r="C6">
        <f>Kostnadsbudsjett!A20</f>
        <v>0</v>
      </c>
      <c r="D6" t="str">
        <f>IFERROR(_xlfn.XLOOKUP(Kostnadsbudsjett!H20,'Lønnstrinn -&gt; Lønnsbånd'!$B$6:$B$88,'Lønnstrinn -&gt; Lønnsbånd'!$E$6:$E$88,,1,),"")</f>
        <v/>
      </c>
      <c r="E6" s="18" t="str">
        <f>IFERROR(IF(Kostnadsbudsjett!K20='Oppslag-fane'!$N$7,Kostnadsbudsjett!L20/100,
IF(Kostnadsbudsjett!K20='Oppslag-fane'!$N$5,Kostnadsbudsjett!L20/(1628/12),
Kostnadsbudsjett!L20/((1628/12)*F25))),"")</f>
        <v/>
      </c>
      <c r="F6" s="20" t="e">
        <f t="shared" ref="F6:F19" si="0">H6+J6+L6</f>
        <v>#VALUE!</v>
      </c>
      <c r="G6" s="20">
        <f t="shared" ref="G6:G19" si="1">I6+K6+M6</f>
        <v>0</v>
      </c>
      <c r="H6" s="8">
        <f t="shared" ref="H6:H19" si="2">IF(_xlfn.NUMBERVALUE($B25)=H$3,IF(_xlfn.NUMBERVALUE(D25)&gt;$H$3,((13-C25)/12)*H25*E6,((_xlfn.NUMBERVALUE(E25)-_xlfn.NUMBERVALUE(C25)+1)/12)*H25*$E6),0)</f>
        <v>0</v>
      </c>
      <c r="I6" s="8">
        <f>IFERROR(IF($B6="Vitenskapelig",_xlfn.XLOOKUP($D6,'Lønnstrinn -&gt; Lønnsbånd'!$E$6:$E$88,'Lønnstrinn -&gt; Lønnsbånd'!$G$6:$G$88,,,)*'Hjelpeberegn_pers og husleie'!H6,_xlfn.XLOOKUP($D6,'Lønnstrinn -&gt; Lønnsbånd'!$E$6:$E$88,'Lønnstrinn -&gt; Lønnsbånd'!$H$6:$H$88,,,)*'Hjelpeberegn_pers og husleie'!H6),0)</f>
        <v>0</v>
      </c>
      <c r="J6" s="8">
        <f t="shared" ref="J6:J19" si="3">IFERROR(IF(_xlfn.NUMBERVALUE($D25)=$H$3,,IF(_xlfn.NUMBERVALUE($B25)=J$3,(((13-_xlfn.NUMBERVALUE(C25))/12)*I25*E6),
IF(_xlfn.NUMBERVALUE($D25)&gt;J$3,I25*E6,(_xlfn.NUMBERVALUE(E25)/12)*I25*E6))),0)</f>
        <v>0</v>
      </c>
      <c r="K6" s="8">
        <f>IFERROR(IF($B6="Vitenskapelig",_xlfn.XLOOKUP($D6,'Lønnstrinn -&gt; Lønnsbånd'!$E$6:$E$88,'Lønnstrinn -&gt; Lønnsbånd'!$G$6:$G$88,,,)*'Hjelpeberegn_pers og husleie'!J6,_xlfn.XLOOKUP($D6,'Lønnstrinn -&gt; Lønnsbånd'!$E$6:$E$88,'Lønnstrinn -&gt; Lønnsbånd'!$H$6:$H$88,,,)*'Hjelpeberegn_pers og husleie'!J6),0)</f>
        <v>0</v>
      </c>
      <c r="L6" s="8" t="e">
        <f t="shared" ref="L6:L19" si="4">IF(_xlfn.NUMBERVALUE(D25)&lt;=$J$3,0,(G25/12)*J25*$E6)</f>
        <v>#VALUE!</v>
      </c>
      <c r="M6" s="8">
        <f>IFERROR(IF($B6="Vitenskapelig",_xlfn.XLOOKUP($D6,'Lønnstrinn -&gt; Lønnsbånd'!$E$6:$E$88,'Lønnstrinn -&gt; Lønnsbånd'!$G$6:$G$88,,,)*'Hjelpeberegn_pers og husleie'!L6,_xlfn.XLOOKUP($D6,'Lønnstrinn -&gt; Lønnsbånd'!$E$6:$E$88,'Lønnstrinn -&gt; Lønnsbånd'!$H$6:$H$88,,,)*'Hjelpeberegn_pers og husleie'!L6),0)</f>
        <v>0</v>
      </c>
      <c r="N6" s="8"/>
      <c r="O6" s="8"/>
      <c r="AI6"/>
      <c r="AJ6"/>
    </row>
    <row r="7" spans="1:36" x14ac:dyDescent="0.25">
      <c r="A7">
        <f>Kostnadsbudsjett!E21</f>
        <v>0</v>
      </c>
      <c r="B7">
        <f>Kostnadsbudsjett!F21</f>
        <v>0</v>
      </c>
      <c r="C7">
        <f>Kostnadsbudsjett!A21</f>
        <v>0</v>
      </c>
      <c r="D7" t="str">
        <f>IFERROR(_xlfn.XLOOKUP(Kostnadsbudsjett!H21,'Lønnstrinn -&gt; Lønnsbånd'!$B$6:$B$88,'Lønnstrinn -&gt; Lønnsbånd'!$E$6:$E$88,,1,),"")</f>
        <v/>
      </c>
      <c r="E7" s="18" t="str">
        <f>IFERROR(IF(Kostnadsbudsjett!K21='Oppslag-fane'!$N$7,Kostnadsbudsjett!L21/100,
IF(Kostnadsbudsjett!K21='Oppslag-fane'!$N$5,Kostnadsbudsjett!L21/(1628/12),
Kostnadsbudsjett!L21/((1628/12)*F26))),"")</f>
        <v/>
      </c>
      <c r="F7" s="20" t="e">
        <f t="shared" si="0"/>
        <v>#VALUE!</v>
      </c>
      <c r="G7" s="20">
        <f t="shared" si="1"/>
        <v>0</v>
      </c>
      <c r="H7" s="8">
        <f t="shared" si="2"/>
        <v>0</v>
      </c>
      <c r="I7" s="8">
        <f>IFERROR(IF($B7="Vitenskapelig",_xlfn.XLOOKUP($D7,'Lønnstrinn -&gt; Lønnsbånd'!$E$6:$E$88,'Lønnstrinn -&gt; Lønnsbånd'!$G$6:$G$88,,,)*'Hjelpeberegn_pers og husleie'!H7,_xlfn.XLOOKUP($D7,'Lønnstrinn -&gt; Lønnsbånd'!$E$6:$E$88,'Lønnstrinn -&gt; Lønnsbånd'!$H$6:$H$88,,,)*'Hjelpeberegn_pers og husleie'!H7),0)</f>
        <v>0</v>
      </c>
      <c r="J7" s="8">
        <f t="shared" si="3"/>
        <v>0</v>
      </c>
      <c r="K7" s="8">
        <f>IFERROR(IF($B7="Vitenskapelig",_xlfn.XLOOKUP($D7,'Lønnstrinn -&gt; Lønnsbånd'!$E$6:$E$88,'Lønnstrinn -&gt; Lønnsbånd'!$G$6:$G$88,,,)*'Hjelpeberegn_pers og husleie'!J7,_xlfn.XLOOKUP($D7,'Lønnstrinn -&gt; Lønnsbånd'!$E$6:$E$88,'Lønnstrinn -&gt; Lønnsbånd'!$H$6:$H$88,,,)*'Hjelpeberegn_pers og husleie'!J7),0)</f>
        <v>0</v>
      </c>
      <c r="L7" s="8" t="e">
        <f t="shared" si="4"/>
        <v>#VALUE!</v>
      </c>
      <c r="M7" s="8">
        <f>IFERROR(IF($B7="Vitenskapelig",_xlfn.XLOOKUP($D7,'Lønnstrinn -&gt; Lønnsbånd'!$E$6:$E$88,'Lønnstrinn -&gt; Lønnsbånd'!$G$6:$G$88,,,)*'Hjelpeberegn_pers og husleie'!L7,_xlfn.XLOOKUP($D7,'Lønnstrinn -&gt; Lønnsbånd'!$E$6:$E$88,'Lønnstrinn -&gt; Lønnsbånd'!$H$6:$H$88,,,)*'Hjelpeberegn_pers og husleie'!L7),0)</f>
        <v>0</v>
      </c>
      <c r="N7" s="8"/>
      <c r="O7" s="8"/>
      <c r="AI7"/>
      <c r="AJ7"/>
    </row>
    <row r="8" spans="1:36" x14ac:dyDescent="0.25">
      <c r="A8">
        <f>Kostnadsbudsjett!E22</f>
        <v>0</v>
      </c>
      <c r="B8">
        <f>Kostnadsbudsjett!F22</f>
        <v>0</v>
      </c>
      <c r="C8">
        <f>Kostnadsbudsjett!A22</f>
        <v>0</v>
      </c>
      <c r="D8" t="str">
        <f>IFERROR(_xlfn.XLOOKUP(Kostnadsbudsjett!H22,'Lønnstrinn -&gt; Lønnsbånd'!$B$6:$B$88,'Lønnstrinn -&gt; Lønnsbånd'!$E$6:$E$88,,1,),"")</f>
        <v/>
      </c>
      <c r="E8" s="18" t="str">
        <f>IFERROR(IF(Kostnadsbudsjett!K22='Oppslag-fane'!$N$7,Kostnadsbudsjett!L22/100,
IF(Kostnadsbudsjett!K22='Oppslag-fane'!$N$5,Kostnadsbudsjett!L22/(1628/12),
Kostnadsbudsjett!L22/((1628/12)*F27))),"")</f>
        <v/>
      </c>
      <c r="F8" s="20" t="e">
        <f t="shared" si="0"/>
        <v>#VALUE!</v>
      </c>
      <c r="G8" s="20">
        <f t="shared" si="1"/>
        <v>0</v>
      </c>
      <c r="H8" s="8">
        <f t="shared" si="2"/>
        <v>0</v>
      </c>
      <c r="I8" s="8">
        <f>IFERROR(IF($B8="Vitenskapelig",_xlfn.XLOOKUP($D8,'Lønnstrinn -&gt; Lønnsbånd'!$E$6:$E$88,'Lønnstrinn -&gt; Lønnsbånd'!$G$6:$G$88,,,)*'Hjelpeberegn_pers og husleie'!H8,_xlfn.XLOOKUP($D8,'Lønnstrinn -&gt; Lønnsbånd'!$E$6:$E$88,'Lønnstrinn -&gt; Lønnsbånd'!$H$6:$H$88,,,)*'Hjelpeberegn_pers og husleie'!H8),0)</f>
        <v>0</v>
      </c>
      <c r="J8" s="8">
        <f t="shared" si="3"/>
        <v>0</v>
      </c>
      <c r="K8" s="8">
        <f>IFERROR(IF($B8="Vitenskapelig",_xlfn.XLOOKUP($D8,'Lønnstrinn -&gt; Lønnsbånd'!$E$6:$E$88,'Lønnstrinn -&gt; Lønnsbånd'!$G$6:$G$88,,,)*'Hjelpeberegn_pers og husleie'!J8,_xlfn.XLOOKUP($D8,'Lønnstrinn -&gt; Lønnsbånd'!$E$6:$E$88,'Lønnstrinn -&gt; Lønnsbånd'!$H$6:$H$88,,,)*'Hjelpeberegn_pers og husleie'!J8),0)</f>
        <v>0</v>
      </c>
      <c r="L8" s="8" t="e">
        <f t="shared" si="4"/>
        <v>#VALUE!</v>
      </c>
      <c r="M8" s="8">
        <f>IFERROR(IF($B8="Vitenskapelig",_xlfn.XLOOKUP($D8,'Lønnstrinn -&gt; Lønnsbånd'!$E$6:$E$88,'Lønnstrinn -&gt; Lønnsbånd'!$G$6:$G$88,,,)*'Hjelpeberegn_pers og husleie'!L8,_xlfn.XLOOKUP($D8,'Lønnstrinn -&gt; Lønnsbånd'!$E$6:$E$88,'Lønnstrinn -&gt; Lønnsbånd'!$H$6:$H$88,,,)*'Hjelpeberegn_pers og husleie'!L8),0)</f>
        <v>0</v>
      </c>
      <c r="N8" s="8"/>
      <c r="O8" s="8"/>
      <c r="AI8"/>
      <c r="AJ8"/>
    </row>
    <row r="9" spans="1:36" x14ac:dyDescent="0.25">
      <c r="A9">
        <f>Kostnadsbudsjett!E23</f>
        <v>0</v>
      </c>
      <c r="B9">
        <f>Kostnadsbudsjett!F23</f>
        <v>0</v>
      </c>
      <c r="C9">
        <f>Kostnadsbudsjett!A23</f>
        <v>0</v>
      </c>
      <c r="D9" t="str">
        <f>IFERROR(_xlfn.XLOOKUP(Kostnadsbudsjett!H23,'Lønnstrinn -&gt; Lønnsbånd'!$B$6:$B$88,'Lønnstrinn -&gt; Lønnsbånd'!$E$6:$E$88,,1,),"")</f>
        <v/>
      </c>
      <c r="E9" s="18" t="str">
        <f>IFERROR(IF(Kostnadsbudsjett!K23='Oppslag-fane'!$N$7,Kostnadsbudsjett!L23/100,
IF(Kostnadsbudsjett!K23='Oppslag-fane'!$N$5,Kostnadsbudsjett!L23/(1628/12),
Kostnadsbudsjett!L23/((1628/12)*F28))),"")</f>
        <v/>
      </c>
      <c r="F9" s="20" t="e">
        <f t="shared" si="0"/>
        <v>#VALUE!</v>
      </c>
      <c r="G9" s="20">
        <f t="shared" si="1"/>
        <v>0</v>
      </c>
      <c r="H9" s="8">
        <f t="shared" si="2"/>
        <v>0</v>
      </c>
      <c r="I9" s="8">
        <f>IFERROR(IF($B9="Vitenskapelig",_xlfn.XLOOKUP($D9,'Lønnstrinn -&gt; Lønnsbånd'!$E$6:$E$88,'Lønnstrinn -&gt; Lønnsbånd'!$G$6:$G$88,,,)*'Hjelpeberegn_pers og husleie'!H9,_xlfn.XLOOKUP($D9,'Lønnstrinn -&gt; Lønnsbånd'!$E$6:$E$88,'Lønnstrinn -&gt; Lønnsbånd'!$H$6:$H$88,,,)*'Hjelpeberegn_pers og husleie'!H9),0)</f>
        <v>0</v>
      </c>
      <c r="J9" s="8">
        <f t="shared" si="3"/>
        <v>0</v>
      </c>
      <c r="K9" s="8">
        <f>IFERROR(IF($B9="Vitenskapelig",_xlfn.XLOOKUP($D9,'Lønnstrinn -&gt; Lønnsbånd'!$E$6:$E$88,'Lønnstrinn -&gt; Lønnsbånd'!$G$6:$G$88,,,)*'Hjelpeberegn_pers og husleie'!J9,_xlfn.XLOOKUP($D9,'Lønnstrinn -&gt; Lønnsbånd'!$E$6:$E$88,'Lønnstrinn -&gt; Lønnsbånd'!$H$6:$H$88,,,)*'Hjelpeberegn_pers og husleie'!J9),0)</f>
        <v>0</v>
      </c>
      <c r="L9" s="8" t="e">
        <f t="shared" si="4"/>
        <v>#VALUE!</v>
      </c>
      <c r="M9" s="8">
        <f>IFERROR(IF($B9="Vitenskapelig",_xlfn.XLOOKUP($D9,'Lønnstrinn -&gt; Lønnsbånd'!$E$6:$E$88,'Lønnstrinn -&gt; Lønnsbånd'!$G$6:$G$88,,,)*'Hjelpeberegn_pers og husleie'!L9,_xlfn.XLOOKUP($D9,'Lønnstrinn -&gt; Lønnsbånd'!$E$6:$E$88,'Lønnstrinn -&gt; Lønnsbånd'!$H$6:$H$88,,,)*'Hjelpeberegn_pers og husleie'!L9),0)</f>
        <v>0</v>
      </c>
      <c r="N9" s="8"/>
      <c r="O9" s="8"/>
      <c r="AI9"/>
      <c r="AJ9"/>
    </row>
    <row r="10" spans="1:36" x14ac:dyDescent="0.25">
      <c r="A10">
        <f>Kostnadsbudsjett!E24</f>
        <v>0</v>
      </c>
      <c r="B10">
        <f>Kostnadsbudsjett!F24</f>
        <v>0</v>
      </c>
      <c r="C10">
        <f>Kostnadsbudsjett!A24</f>
        <v>0</v>
      </c>
      <c r="D10" t="str">
        <f>IFERROR(_xlfn.XLOOKUP(Kostnadsbudsjett!H24,'Lønnstrinn -&gt; Lønnsbånd'!$B$6:$B$88,'Lønnstrinn -&gt; Lønnsbånd'!$E$6:$E$88,,1,),"")</f>
        <v/>
      </c>
      <c r="E10" s="18" t="str">
        <f>IFERROR(IF(Kostnadsbudsjett!K24='Oppslag-fane'!$N$7,Kostnadsbudsjett!L24/100,
IF(Kostnadsbudsjett!K24='Oppslag-fane'!$N$5,Kostnadsbudsjett!L24/(1628/12),
Kostnadsbudsjett!L24/((1628/12)*F29))),"")</f>
        <v/>
      </c>
      <c r="F10" s="20" t="e">
        <f t="shared" si="0"/>
        <v>#VALUE!</v>
      </c>
      <c r="G10" s="20">
        <f t="shared" si="1"/>
        <v>0</v>
      </c>
      <c r="H10" s="8">
        <f t="shared" si="2"/>
        <v>0</v>
      </c>
      <c r="I10" s="8">
        <f>IFERROR(IF($B10="Vitenskapelig",_xlfn.XLOOKUP($D10,'Lønnstrinn -&gt; Lønnsbånd'!$E$6:$E$88,'Lønnstrinn -&gt; Lønnsbånd'!$G$6:$G$88,,,)*'Hjelpeberegn_pers og husleie'!H10,_xlfn.XLOOKUP($D10,'Lønnstrinn -&gt; Lønnsbånd'!$E$6:$E$88,'Lønnstrinn -&gt; Lønnsbånd'!$H$6:$H$88,,,)*'Hjelpeberegn_pers og husleie'!H10),0)</f>
        <v>0</v>
      </c>
      <c r="J10" s="8">
        <f t="shared" si="3"/>
        <v>0</v>
      </c>
      <c r="K10" s="8">
        <f>IFERROR(IF($B10="Vitenskapelig",_xlfn.XLOOKUP($D10,'Lønnstrinn -&gt; Lønnsbånd'!$E$6:$E$88,'Lønnstrinn -&gt; Lønnsbånd'!$G$6:$G$88,,,)*'Hjelpeberegn_pers og husleie'!J10,_xlfn.XLOOKUP($D10,'Lønnstrinn -&gt; Lønnsbånd'!$E$6:$E$88,'Lønnstrinn -&gt; Lønnsbånd'!$H$6:$H$88,,,)*'Hjelpeberegn_pers og husleie'!J10),0)</f>
        <v>0</v>
      </c>
      <c r="L10" s="8" t="e">
        <f t="shared" si="4"/>
        <v>#VALUE!</v>
      </c>
      <c r="M10" s="8">
        <f>IFERROR(IF($B10="Vitenskapelig",_xlfn.XLOOKUP($D10,'Lønnstrinn -&gt; Lønnsbånd'!$E$6:$E$88,'Lønnstrinn -&gt; Lønnsbånd'!$G$6:$G$88,,,)*'Hjelpeberegn_pers og husleie'!L10,_xlfn.XLOOKUP($D10,'Lønnstrinn -&gt; Lønnsbånd'!$E$6:$E$88,'Lønnstrinn -&gt; Lønnsbånd'!$H$6:$H$88,,,)*'Hjelpeberegn_pers og husleie'!L10),0)</f>
        <v>0</v>
      </c>
      <c r="N10" s="8"/>
      <c r="O10" s="8"/>
      <c r="AI10"/>
      <c r="AJ10"/>
    </row>
    <row r="11" spans="1:36" x14ac:dyDescent="0.25">
      <c r="A11">
        <f>Kostnadsbudsjett!E25</f>
        <v>0</v>
      </c>
      <c r="B11">
        <f>Kostnadsbudsjett!F25</f>
        <v>0</v>
      </c>
      <c r="C11">
        <f>Kostnadsbudsjett!A25</f>
        <v>0</v>
      </c>
      <c r="D11" t="str">
        <f>IFERROR(_xlfn.XLOOKUP(Kostnadsbudsjett!H25,'Lønnstrinn -&gt; Lønnsbånd'!$B$6:$B$88,'Lønnstrinn -&gt; Lønnsbånd'!$E$6:$E$88,,1,),"")</f>
        <v/>
      </c>
      <c r="E11" s="18" t="str">
        <f>IFERROR(IF(Kostnadsbudsjett!K25='Oppslag-fane'!$N$7,Kostnadsbudsjett!L25/100,
IF(Kostnadsbudsjett!K25='Oppslag-fane'!$N$5,Kostnadsbudsjett!L25/(1628/12),
Kostnadsbudsjett!L25/((1628/12)*F30))),"")</f>
        <v/>
      </c>
      <c r="F11" s="20" t="e">
        <f t="shared" si="0"/>
        <v>#VALUE!</v>
      </c>
      <c r="G11" s="20">
        <f t="shared" si="1"/>
        <v>0</v>
      </c>
      <c r="H11" s="8">
        <f t="shared" si="2"/>
        <v>0</v>
      </c>
      <c r="I11" s="8">
        <f>IFERROR(IF($B11="Vitenskapelig",_xlfn.XLOOKUP($D11,'Lønnstrinn -&gt; Lønnsbånd'!$E$6:$E$88,'Lønnstrinn -&gt; Lønnsbånd'!$G$6:$G$88,,,)*'Hjelpeberegn_pers og husleie'!H11,_xlfn.XLOOKUP($D11,'Lønnstrinn -&gt; Lønnsbånd'!$E$6:$E$88,'Lønnstrinn -&gt; Lønnsbånd'!$H$6:$H$88,,,)*'Hjelpeberegn_pers og husleie'!H11),0)</f>
        <v>0</v>
      </c>
      <c r="J11" s="8">
        <f t="shared" si="3"/>
        <v>0</v>
      </c>
      <c r="K11" s="8">
        <f>IFERROR(IF($B11="Vitenskapelig",_xlfn.XLOOKUP($D11,'Lønnstrinn -&gt; Lønnsbånd'!$E$6:$E$88,'Lønnstrinn -&gt; Lønnsbånd'!$G$6:$G$88,,,)*'Hjelpeberegn_pers og husleie'!J11,_xlfn.XLOOKUP($D11,'Lønnstrinn -&gt; Lønnsbånd'!$E$6:$E$88,'Lønnstrinn -&gt; Lønnsbånd'!$H$6:$H$88,,,)*'Hjelpeberegn_pers og husleie'!J11),0)</f>
        <v>0</v>
      </c>
      <c r="L11" s="8" t="e">
        <f t="shared" si="4"/>
        <v>#VALUE!</v>
      </c>
      <c r="M11" s="8">
        <f>IFERROR(IF($B11="Vitenskapelig",_xlfn.XLOOKUP($D11,'Lønnstrinn -&gt; Lønnsbånd'!$E$6:$E$88,'Lønnstrinn -&gt; Lønnsbånd'!$G$6:$G$88,,,)*'Hjelpeberegn_pers og husleie'!L11,_xlfn.XLOOKUP($D11,'Lønnstrinn -&gt; Lønnsbånd'!$E$6:$E$88,'Lønnstrinn -&gt; Lønnsbånd'!$H$6:$H$88,,,)*'Hjelpeberegn_pers og husleie'!L11),0)</f>
        <v>0</v>
      </c>
      <c r="N11" s="8"/>
      <c r="O11" s="8"/>
      <c r="AI11"/>
      <c r="AJ11"/>
    </row>
    <row r="12" spans="1:36" x14ac:dyDescent="0.25">
      <c r="A12">
        <f>Kostnadsbudsjett!E26</f>
        <v>0</v>
      </c>
      <c r="B12">
        <f>Kostnadsbudsjett!F26</f>
        <v>0</v>
      </c>
      <c r="C12">
        <f>Kostnadsbudsjett!A26</f>
        <v>0</v>
      </c>
      <c r="D12" t="str">
        <f>IFERROR(_xlfn.XLOOKUP(Kostnadsbudsjett!H26,'Lønnstrinn -&gt; Lønnsbånd'!$B$6:$B$88,'Lønnstrinn -&gt; Lønnsbånd'!$E$6:$E$88,,1,),"")</f>
        <v/>
      </c>
      <c r="E12" s="18" t="str">
        <f>IFERROR(IF(Kostnadsbudsjett!K26='Oppslag-fane'!$N$7,Kostnadsbudsjett!L26/100,
IF(Kostnadsbudsjett!K26='Oppslag-fane'!$N$5,Kostnadsbudsjett!L26/(1628/12),
Kostnadsbudsjett!L26/((1628/12)*F31))),"")</f>
        <v/>
      </c>
      <c r="F12" s="20" t="e">
        <f t="shared" si="0"/>
        <v>#VALUE!</v>
      </c>
      <c r="G12" s="20">
        <f t="shared" si="1"/>
        <v>0</v>
      </c>
      <c r="H12" s="8">
        <f t="shared" si="2"/>
        <v>0</v>
      </c>
      <c r="I12" s="8">
        <f>IFERROR(IF($B12="Vitenskapelig",_xlfn.XLOOKUP($D12,'Lønnstrinn -&gt; Lønnsbånd'!$E$6:$E$88,'Lønnstrinn -&gt; Lønnsbånd'!$G$6:$G$88,,,)*'Hjelpeberegn_pers og husleie'!H12,_xlfn.XLOOKUP($D12,'Lønnstrinn -&gt; Lønnsbånd'!$E$6:$E$88,'Lønnstrinn -&gt; Lønnsbånd'!$H$6:$H$88,,,)*'Hjelpeberegn_pers og husleie'!H12),0)</f>
        <v>0</v>
      </c>
      <c r="J12" s="8">
        <f t="shared" si="3"/>
        <v>0</v>
      </c>
      <c r="K12" s="8">
        <f>IFERROR(IF($B12="Vitenskapelig",_xlfn.XLOOKUP($D12,'Lønnstrinn -&gt; Lønnsbånd'!$E$6:$E$88,'Lønnstrinn -&gt; Lønnsbånd'!$G$6:$G$88,,,)*'Hjelpeberegn_pers og husleie'!J12,_xlfn.XLOOKUP($D12,'Lønnstrinn -&gt; Lønnsbånd'!$E$6:$E$88,'Lønnstrinn -&gt; Lønnsbånd'!$H$6:$H$88,,,)*'Hjelpeberegn_pers og husleie'!J12),0)</f>
        <v>0</v>
      </c>
      <c r="L12" s="8" t="e">
        <f t="shared" si="4"/>
        <v>#VALUE!</v>
      </c>
      <c r="M12" s="8">
        <f>IFERROR(IF($B12="Vitenskapelig",_xlfn.XLOOKUP($D12,'Lønnstrinn -&gt; Lønnsbånd'!$E$6:$E$88,'Lønnstrinn -&gt; Lønnsbånd'!$G$6:$G$88,,,)*'Hjelpeberegn_pers og husleie'!L12,_xlfn.XLOOKUP($D12,'Lønnstrinn -&gt; Lønnsbånd'!$E$6:$E$88,'Lønnstrinn -&gt; Lønnsbånd'!$H$6:$H$88,,,)*'Hjelpeberegn_pers og husleie'!L12),0)</f>
        <v>0</v>
      </c>
      <c r="N12" s="8"/>
      <c r="O12" s="8"/>
      <c r="AI12"/>
      <c r="AJ12"/>
    </row>
    <row r="13" spans="1:36" x14ac:dyDescent="0.25">
      <c r="A13">
        <f>Kostnadsbudsjett!E27</f>
        <v>0</v>
      </c>
      <c r="B13">
        <f>Kostnadsbudsjett!F27</f>
        <v>0</v>
      </c>
      <c r="C13">
        <f>Kostnadsbudsjett!A27</f>
        <v>0</v>
      </c>
      <c r="D13" t="str">
        <f>IFERROR(_xlfn.XLOOKUP(Kostnadsbudsjett!H27,'Lønnstrinn -&gt; Lønnsbånd'!$B$6:$B$88,'Lønnstrinn -&gt; Lønnsbånd'!$E$6:$E$88,,1,),"")</f>
        <v/>
      </c>
      <c r="E13" s="18" t="str">
        <f>IFERROR(IF(Kostnadsbudsjett!K27='Oppslag-fane'!$N$7,Kostnadsbudsjett!L27/100,
IF(Kostnadsbudsjett!K27='Oppslag-fane'!$N$5,Kostnadsbudsjett!L27/(1628/12),
Kostnadsbudsjett!L27/((1628/12)*F32))),"")</f>
        <v/>
      </c>
      <c r="F13" s="20" t="e">
        <f t="shared" si="0"/>
        <v>#VALUE!</v>
      </c>
      <c r="G13" s="20">
        <f t="shared" si="1"/>
        <v>0</v>
      </c>
      <c r="H13" s="8">
        <f t="shared" si="2"/>
        <v>0</v>
      </c>
      <c r="I13" s="8">
        <f>IFERROR(IF($B13="Vitenskapelig",_xlfn.XLOOKUP($D13,'Lønnstrinn -&gt; Lønnsbånd'!$E$6:$E$88,'Lønnstrinn -&gt; Lønnsbånd'!$G$6:$G$88,,,)*'Hjelpeberegn_pers og husleie'!H13,_xlfn.XLOOKUP($D13,'Lønnstrinn -&gt; Lønnsbånd'!$E$6:$E$88,'Lønnstrinn -&gt; Lønnsbånd'!$H$6:$H$88,,,)*'Hjelpeberegn_pers og husleie'!H13),0)</f>
        <v>0</v>
      </c>
      <c r="J13" s="8">
        <f t="shared" si="3"/>
        <v>0</v>
      </c>
      <c r="K13" s="8">
        <f>IFERROR(IF($B13="Vitenskapelig",_xlfn.XLOOKUP($D13,'Lønnstrinn -&gt; Lønnsbånd'!$E$6:$E$88,'Lønnstrinn -&gt; Lønnsbånd'!$G$6:$G$88,,,)*'Hjelpeberegn_pers og husleie'!J13,_xlfn.XLOOKUP($D13,'Lønnstrinn -&gt; Lønnsbånd'!$E$6:$E$88,'Lønnstrinn -&gt; Lønnsbånd'!$H$6:$H$88,,,)*'Hjelpeberegn_pers og husleie'!J13),0)</f>
        <v>0</v>
      </c>
      <c r="L13" s="8" t="e">
        <f t="shared" si="4"/>
        <v>#VALUE!</v>
      </c>
      <c r="M13" s="8">
        <f>IFERROR(IF($B13="Vitenskapelig",_xlfn.XLOOKUP($D13,'Lønnstrinn -&gt; Lønnsbånd'!$E$6:$E$88,'Lønnstrinn -&gt; Lønnsbånd'!$G$6:$G$88,,,)*'Hjelpeberegn_pers og husleie'!L13,_xlfn.XLOOKUP($D13,'Lønnstrinn -&gt; Lønnsbånd'!$E$6:$E$88,'Lønnstrinn -&gt; Lønnsbånd'!$H$6:$H$88,,,)*'Hjelpeberegn_pers og husleie'!L13),0)</f>
        <v>0</v>
      </c>
      <c r="N13" s="8"/>
      <c r="O13" s="8"/>
      <c r="AI13"/>
      <c r="AJ13"/>
    </row>
    <row r="14" spans="1:36" x14ac:dyDescent="0.25">
      <c r="A14">
        <f>Kostnadsbudsjett!E28</f>
        <v>0</v>
      </c>
      <c r="B14">
        <f>Kostnadsbudsjett!F28</f>
        <v>0</v>
      </c>
      <c r="C14">
        <f>Kostnadsbudsjett!A28</f>
        <v>0</v>
      </c>
      <c r="D14" t="str">
        <f>IFERROR(_xlfn.XLOOKUP(Kostnadsbudsjett!H28,'Lønnstrinn -&gt; Lønnsbånd'!$B$6:$B$88,'Lønnstrinn -&gt; Lønnsbånd'!$E$6:$E$88,,1,),"")</f>
        <v/>
      </c>
      <c r="E14" s="18" t="str">
        <f>IFERROR(IF(Kostnadsbudsjett!K28='Oppslag-fane'!$N$7,Kostnadsbudsjett!L28/100,
IF(Kostnadsbudsjett!K28='Oppslag-fane'!$N$5,Kostnadsbudsjett!L28/(1628/12),
Kostnadsbudsjett!L28/((1628/12)*F33))),"")</f>
        <v/>
      </c>
      <c r="F14" s="20" t="e">
        <f t="shared" si="0"/>
        <v>#VALUE!</v>
      </c>
      <c r="G14" s="20">
        <f t="shared" si="1"/>
        <v>0</v>
      </c>
      <c r="H14" s="8">
        <f t="shared" si="2"/>
        <v>0</v>
      </c>
      <c r="I14" s="8">
        <f>IFERROR(IF($B14="Vitenskapelig",_xlfn.XLOOKUP($D14,'Lønnstrinn -&gt; Lønnsbånd'!$E$6:$E$88,'Lønnstrinn -&gt; Lønnsbånd'!$G$6:$G$88,,,)*'Hjelpeberegn_pers og husleie'!H14,_xlfn.XLOOKUP($D14,'Lønnstrinn -&gt; Lønnsbånd'!$E$6:$E$88,'Lønnstrinn -&gt; Lønnsbånd'!$H$6:$H$88,,,)*'Hjelpeberegn_pers og husleie'!H14),0)</f>
        <v>0</v>
      </c>
      <c r="J14" s="8">
        <f t="shared" si="3"/>
        <v>0</v>
      </c>
      <c r="K14" s="8">
        <f>IFERROR(IF($B14="Vitenskapelig",_xlfn.XLOOKUP($D14,'Lønnstrinn -&gt; Lønnsbånd'!$E$6:$E$88,'Lønnstrinn -&gt; Lønnsbånd'!$G$6:$G$88,,,)*'Hjelpeberegn_pers og husleie'!J14,_xlfn.XLOOKUP($D14,'Lønnstrinn -&gt; Lønnsbånd'!$E$6:$E$88,'Lønnstrinn -&gt; Lønnsbånd'!$H$6:$H$88,,,)*'Hjelpeberegn_pers og husleie'!J14),0)</f>
        <v>0</v>
      </c>
      <c r="L14" s="8" t="e">
        <f t="shared" si="4"/>
        <v>#VALUE!</v>
      </c>
      <c r="M14" s="8">
        <f>IFERROR(IF($B14="Vitenskapelig",_xlfn.XLOOKUP($D14,'Lønnstrinn -&gt; Lønnsbånd'!$E$6:$E$88,'Lønnstrinn -&gt; Lønnsbånd'!$G$6:$G$88,,,)*'Hjelpeberegn_pers og husleie'!L14,_xlfn.XLOOKUP($D14,'Lønnstrinn -&gt; Lønnsbånd'!$E$6:$E$88,'Lønnstrinn -&gt; Lønnsbånd'!$H$6:$H$88,,,)*'Hjelpeberegn_pers og husleie'!L14),0)</f>
        <v>0</v>
      </c>
      <c r="N14" s="8"/>
      <c r="O14" s="8"/>
      <c r="AI14"/>
      <c r="AJ14"/>
    </row>
    <row r="15" spans="1:36" outlineLevel="1" x14ac:dyDescent="0.25">
      <c r="A15">
        <f>Kostnadsbudsjett!E29</f>
        <v>0</v>
      </c>
      <c r="B15">
        <f>Kostnadsbudsjett!F29</f>
        <v>0</v>
      </c>
      <c r="C15">
        <f>Kostnadsbudsjett!A29</f>
        <v>0</v>
      </c>
      <c r="D15" t="str">
        <f>IFERROR(_xlfn.XLOOKUP(Kostnadsbudsjett!H29,'Lønnstrinn -&gt; Lønnsbånd'!$B$6:$B$88,'Lønnstrinn -&gt; Lønnsbånd'!$E$6:$E$88,,1,),"")</f>
        <v/>
      </c>
      <c r="E15" s="18" t="str">
        <f>IFERROR(IF(Kostnadsbudsjett!K29='Oppslag-fane'!$N$7,Kostnadsbudsjett!L29/100,
IF(Kostnadsbudsjett!K29='Oppslag-fane'!$N$5,Kostnadsbudsjett!L29/(1628/12),
Kostnadsbudsjett!L29/((1628/12)*F34))),"")</f>
        <v/>
      </c>
      <c r="F15" s="20" t="e">
        <f t="shared" si="0"/>
        <v>#VALUE!</v>
      </c>
      <c r="G15" s="20">
        <f t="shared" si="1"/>
        <v>0</v>
      </c>
      <c r="H15" s="8">
        <f t="shared" si="2"/>
        <v>0</v>
      </c>
      <c r="I15" s="8">
        <f>IFERROR(IF($B15="Vitenskapelig",_xlfn.XLOOKUP($D15,'Lønnstrinn -&gt; Lønnsbånd'!$E$6:$E$88,'Lønnstrinn -&gt; Lønnsbånd'!$G$6:$G$88,,,)*'Hjelpeberegn_pers og husleie'!H15,_xlfn.XLOOKUP($D15,'Lønnstrinn -&gt; Lønnsbånd'!$E$6:$E$88,'Lønnstrinn -&gt; Lønnsbånd'!$H$6:$H$88,,,)*'Hjelpeberegn_pers og husleie'!H15),0)</f>
        <v>0</v>
      </c>
      <c r="J15" s="8">
        <f t="shared" si="3"/>
        <v>0</v>
      </c>
      <c r="K15" s="8">
        <f>IFERROR(IF($B15="Vitenskapelig",_xlfn.XLOOKUP($D15,'Lønnstrinn -&gt; Lønnsbånd'!$E$6:$E$88,'Lønnstrinn -&gt; Lønnsbånd'!$G$6:$G$88,,,)*'Hjelpeberegn_pers og husleie'!J15,_xlfn.XLOOKUP($D15,'Lønnstrinn -&gt; Lønnsbånd'!$E$6:$E$88,'Lønnstrinn -&gt; Lønnsbånd'!$H$6:$H$88,,,)*'Hjelpeberegn_pers og husleie'!J15),0)</f>
        <v>0</v>
      </c>
      <c r="L15" s="8" t="e">
        <f t="shared" si="4"/>
        <v>#VALUE!</v>
      </c>
      <c r="M15" s="8">
        <f>IFERROR(IF($B15="Vitenskapelig",_xlfn.XLOOKUP($D15,'Lønnstrinn -&gt; Lønnsbånd'!$E$6:$E$88,'Lønnstrinn -&gt; Lønnsbånd'!$G$6:$G$88,,,)*'Hjelpeberegn_pers og husleie'!L15,_xlfn.XLOOKUP($D15,'Lønnstrinn -&gt; Lønnsbånd'!$E$6:$E$88,'Lønnstrinn -&gt; Lønnsbånd'!$H$6:$H$88,,,)*'Hjelpeberegn_pers og husleie'!L15),0)</f>
        <v>0</v>
      </c>
      <c r="N15" s="8"/>
      <c r="O15" s="8"/>
      <c r="AI15"/>
      <c r="AJ15"/>
    </row>
    <row r="16" spans="1:36" outlineLevel="1" x14ac:dyDescent="0.25">
      <c r="A16">
        <f>Kostnadsbudsjett!E30</f>
        <v>0</v>
      </c>
      <c r="B16">
        <f>Kostnadsbudsjett!F30</f>
        <v>0</v>
      </c>
      <c r="C16">
        <f>Kostnadsbudsjett!A30</f>
        <v>0</v>
      </c>
      <c r="D16" t="str">
        <f>IFERROR(_xlfn.XLOOKUP(Kostnadsbudsjett!H30,'Lønnstrinn -&gt; Lønnsbånd'!$B$6:$B$88,'Lønnstrinn -&gt; Lønnsbånd'!$E$6:$E$88,,1,),"")</f>
        <v/>
      </c>
      <c r="E16" s="18" t="str">
        <f>IFERROR(IF(Kostnadsbudsjett!K30='Oppslag-fane'!$N$7,Kostnadsbudsjett!L30/100,
IF(Kostnadsbudsjett!K30='Oppslag-fane'!$N$5,Kostnadsbudsjett!L30/(1628/12),
Kostnadsbudsjett!L30/((1628/12)*F35))),"")</f>
        <v/>
      </c>
      <c r="F16" s="20" t="e">
        <f t="shared" si="0"/>
        <v>#VALUE!</v>
      </c>
      <c r="G16" s="20">
        <f t="shared" si="1"/>
        <v>0</v>
      </c>
      <c r="H16" s="8">
        <f t="shared" si="2"/>
        <v>0</v>
      </c>
      <c r="I16" s="8">
        <f>IFERROR(IF($B16="Vitenskapelig",_xlfn.XLOOKUP($D16,'Lønnstrinn -&gt; Lønnsbånd'!$E$6:$E$88,'Lønnstrinn -&gt; Lønnsbånd'!$G$6:$G$88,,,)*'Hjelpeberegn_pers og husleie'!H16,_xlfn.XLOOKUP($D16,'Lønnstrinn -&gt; Lønnsbånd'!$E$6:$E$88,'Lønnstrinn -&gt; Lønnsbånd'!$H$6:$H$88,,,)*'Hjelpeberegn_pers og husleie'!H16),0)</f>
        <v>0</v>
      </c>
      <c r="J16" s="8">
        <f t="shared" si="3"/>
        <v>0</v>
      </c>
      <c r="K16" s="8">
        <f>IFERROR(IF($B16="Vitenskapelig",_xlfn.XLOOKUP($D16,'Lønnstrinn -&gt; Lønnsbånd'!$E$6:$E$88,'Lønnstrinn -&gt; Lønnsbånd'!$G$6:$G$88,,,)*'Hjelpeberegn_pers og husleie'!J16,_xlfn.XLOOKUP($D16,'Lønnstrinn -&gt; Lønnsbånd'!$E$6:$E$88,'Lønnstrinn -&gt; Lønnsbånd'!$H$6:$H$88,,,)*'Hjelpeberegn_pers og husleie'!J16),0)</f>
        <v>0</v>
      </c>
      <c r="L16" s="8" t="e">
        <f t="shared" si="4"/>
        <v>#VALUE!</v>
      </c>
      <c r="M16" s="8">
        <f>IFERROR(IF($B16="Vitenskapelig",_xlfn.XLOOKUP($D16,'Lønnstrinn -&gt; Lønnsbånd'!$E$6:$E$88,'Lønnstrinn -&gt; Lønnsbånd'!$G$6:$G$88,,,)*'Hjelpeberegn_pers og husleie'!L16,_xlfn.XLOOKUP($D16,'Lønnstrinn -&gt; Lønnsbånd'!$E$6:$E$88,'Lønnstrinn -&gt; Lønnsbånd'!$H$6:$H$88,,,)*'Hjelpeberegn_pers og husleie'!L16),0)</f>
        <v>0</v>
      </c>
      <c r="N16" s="8"/>
      <c r="O16" s="8"/>
      <c r="AI16"/>
      <c r="AJ16"/>
    </row>
    <row r="17" spans="1:36" outlineLevel="1" x14ac:dyDescent="0.25">
      <c r="A17">
        <f>Kostnadsbudsjett!E31</f>
        <v>0</v>
      </c>
      <c r="B17">
        <f>Kostnadsbudsjett!F31</f>
        <v>0</v>
      </c>
      <c r="C17">
        <f>Kostnadsbudsjett!A31</f>
        <v>0</v>
      </c>
      <c r="D17" t="str">
        <f>IFERROR(_xlfn.XLOOKUP(Kostnadsbudsjett!H31,'Lønnstrinn -&gt; Lønnsbånd'!$B$6:$B$88,'Lønnstrinn -&gt; Lønnsbånd'!$E$6:$E$88,,1,),"")</f>
        <v/>
      </c>
      <c r="E17" s="18" t="str">
        <f>IFERROR(IF(Kostnadsbudsjett!K31='Oppslag-fane'!$N$7,Kostnadsbudsjett!L31/100,
IF(Kostnadsbudsjett!K31='Oppslag-fane'!$N$5,Kostnadsbudsjett!L31/(1628/12),
Kostnadsbudsjett!L31/((1628/12)*F36))),"")</f>
        <v/>
      </c>
      <c r="F17" s="20" t="e">
        <f t="shared" si="0"/>
        <v>#VALUE!</v>
      </c>
      <c r="G17" s="20">
        <f t="shared" si="1"/>
        <v>0</v>
      </c>
      <c r="H17" s="8">
        <f t="shared" si="2"/>
        <v>0</v>
      </c>
      <c r="I17" s="8">
        <f>IFERROR(IF($B17="Vitenskapelig",_xlfn.XLOOKUP($D17,'Lønnstrinn -&gt; Lønnsbånd'!$E$6:$E$88,'Lønnstrinn -&gt; Lønnsbånd'!$G$6:$G$88,,,)*'Hjelpeberegn_pers og husleie'!H17,_xlfn.XLOOKUP($D17,'Lønnstrinn -&gt; Lønnsbånd'!$E$6:$E$88,'Lønnstrinn -&gt; Lønnsbånd'!$H$6:$H$88,,,)*'Hjelpeberegn_pers og husleie'!H17),0)</f>
        <v>0</v>
      </c>
      <c r="J17" s="8">
        <f t="shared" si="3"/>
        <v>0</v>
      </c>
      <c r="K17" s="8">
        <f>IFERROR(IF($B17="Vitenskapelig",_xlfn.XLOOKUP($D17,'Lønnstrinn -&gt; Lønnsbånd'!$E$6:$E$88,'Lønnstrinn -&gt; Lønnsbånd'!$G$6:$G$88,,,)*'Hjelpeberegn_pers og husleie'!J17,_xlfn.XLOOKUP($D17,'Lønnstrinn -&gt; Lønnsbånd'!$E$6:$E$88,'Lønnstrinn -&gt; Lønnsbånd'!$H$6:$H$88,,,)*'Hjelpeberegn_pers og husleie'!J17),0)</f>
        <v>0</v>
      </c>
      <c r="L17" s="8" t="e">
        <f t="shared" si="4"/>
        <v>#VALUE!</v>
      </c>
      <c r="M17" s="8">
        <f>IFERROR(IF($B17="Vitenskapelig",_xlfn.XLOOKUP($D17,'Lønnstrinn -&gt; Lønnsbånd'!$E$6:$E$88,'Lønnstrinn -&gt; Lønnsbånd'!$G$6:$G$88,,,)*'Hjelpeberegn_pers og husleie'!L17,_xlfn.XLOOKUP($D17,'Lønnstrinn -&gt; Lønnsbånd'!$E$6:$E$88,'Lønnstrinn -&gt; Lønnsbånd'!$H$6:$H$88,,,)*'Hjelpeberegn_pers og husleie'!L17),0)</f>
        <v>0</v>
      </c>
      <c r="N17" s="8"/>
      <c r="O17" s="8"/>
      <c r="AI17"/>
      <c r="AJ17"/>
    </row>
    <row r="18" spans="1:36" outlineLevel="1" x14ac:dyDescent="0.25">
      <c r="A18">
        <f>Kostnadsbudsjett!E32</f>
        <v>0</v>
      </c>
      <c r="B18">
        <f>Kostnadsbudsjett!F32</f>
        <v>0</v>
      </c>
      <c r="C18">
        <f>Kostnadsbudsjett!A32</f>
        <v>0</v>
      </c>
      <c r="D18" t="str">
        <f>IFERROR(_xlfn.XLOOKUP(Kostnadsbudsjett!H32,'Lønnstrinn -&gt; Lønnsbånd'!$B$6:$B$88,'Lønnstrinn -&gt; Lønnsbånd'!$E$6:$E$88,,1,),"")</f>
        <v/>
      </c>
      <c r="E18" s="18" t="str">
        <f>IFERROR(IF(Kostnadsbudsjett!K32='Oppslag-fane'!$N$7,Kostnadsbudsjett!L32/100,
IF(Kostnadsbudsjett!K32='Oppslag-fane'!$N$5,Kostnadsbudsjett!L32/(1628/12),
Kostnadsbudsjett!L32/((1628/12)*F37))),"")</f>
        <v/>
      </c>
      <c r="F18" s="20" t="e">
        <f t="shared" si="0"/>
        <v>#VALUE!</v>
      </c>
      <c r="G18" s="20">
        <f t="shared" si="1"/>
        <v>0</v>
      </c>
      <c r="H18" s="8">
        <f t="shared" si="2"/>
        <v>0</v>
      </c>
      <c r="I18" s="8">
        <f>IFERROR(IF($B18="Vitenskapelig",_xlfn.XLOOKUP($D18,'Lønnstrinn -&gt; Lønnsbånd'!$E$6:$E$88,'Lønnstrinn -&gt; Lønnsbånd'!$G$6:$G$88,,,)*'Hjelpeberegn_pers og husleie'!H18,_xlfn.XLOOKUP($D18,'Lønnstrinn -&gt; Lønnsbånd'!$E$6:$E$88,'Lønnstrinn -&gt; Lønnsbånd'!$H$6:$H$88,,,)*'Hjelpeberegn_pers og husleie'!H18),0)</f>
        <v>0</v>
      </c>
      <c r="J18" s="8">
        <f t="shared" si="3"/>
        <v>0</v>
      </c>
      <c r="K18" s="8">
        <f>IFERROR(IF($B18="Vitenskapelig",_xlfn.XLOOKUP($D18,'Lønnstrinn -&gt; Lønnsbånd'!$E$6:$E$88,'Lønnstrinn -&gt; Lønnsbånd'!$G$6:$G$88,,,)*'Hjelpeberegn_pers og husleie'!J18,_xlfn.XLOOKUP($D18,'Lønnstrinn -&gt; Lønnsbånd'!$E$6:$E$88,'Lønnstrinn -&gt; Lønnsbånd'!$H$6:$H$88,,,)*'Hjelpeberegn_pers og husleie'!J18),0)</f>
        <v>0</v>
      </c>
      <c r="L18" s="8" t="e">
        <f t="shared" si="4"/>
        <v>#VALUE!</v>
      </c>
      <c r="M18" s="8">
        <f>IFERROR(IF($B18="Vitenskapelig",_xlfn.XLOOKUP($D18,'Lønnstrinn -&gt; Lønnsbånd'!$E$6:$E$88,'Lønnstrinn -&gt; Lønnsbånd'!$G$6:$G$88,,,)*'Hjelpeberegn_pers og husleie'!L18,_xlfn.XLOOKUP($D18,'Lønnstrinn -&gt; Lønnsbånd'!$E$6:$E$88,'Lønnstrinn -&gt; Lønnsbånd'!$H$6:$H$88,,,)*'Hjelpeberegn_pers og husleie'!L18),0)</f>
        <v>0</v>
      </c>
      <c r="N18" s="8"/>
      <c r="O18" s="8"/>
      <c r="AI18"/>
      <c r="AJ18"/>
    </row>
    <row r="19" spans="1:36" outlineLevel="1" x14ac:dyDescent="0.25">
      <c r="A19">
        <f>Kostnadsbudsjett!E33</f>
        <v>0</v>
      </c>
      <c r="B19">
        <f>Kostnadsbudsjett!F33</f>
        <v>0</v>
      </c>
      <c r="C19">
        <f>Kostnadsbudsjett!A33</f>
        <v>0</v>
      </c>
      <c r="D19" t="str">
        <f>IFERROR(_xlfn.XLOOKUP(Kostnadsbudsjett!H33,'Lønnstrinn -&gt; Lønnsbånd'!$B$6:$B$88,'Lønnstrinn -&gt; Lønnsbånd'!$E$6:$E$88,,1,),"")</f>
        <v/>
      </c>
      <c r="E19" s="18" t="str">
        <f>IFERROR(IF(Kostnadsbudsjett!K33='Oppslag-fane'!$N$7,Kostnadsbudsjett!L33/100,
IF(Kostnadsbudsjett!K33='Oppslag-fane'!$N$5,Kostnadsbudsjett!L33/(1628/12),
Kostnadsbudsjett!L33/((1628/12)*F38))),"")</f>
        <v/>
      </c>
      <c r="F19" s="20" t="e">
        <f t="shared" si="0"/>
        <v>#VALUE!</v>
      </c>
      <c r="G19" s="20">
        <f t="shared" si="1"/>
        <v>0</v>
      </c>
      <c r="H19" s="8">
        <f t="shared" si="2"/>
        <v>0</v>
      </c>
      <c r="I19" s="8">
        <f>IFERROR(IF($B19="Vitenskapelig",_xlfn.XLOOKUP($D19,'Lønnstrinn -&gt; Lønnsbånd'!$E$6:$E$88,'Lønnstrinn -&gt; Lønnsbånd'!$G$6:$G$88,,,)*'Hjelpeberegn_pers og husleie'!H19,_xlfn.XLOOKUP($D19,'Lønnstrinn -&gt; Lønnsbånd'!$E$6:$E$88,'Lønnstrinn -&gt; Lønnsbånd'!$H$6:$H$88,,,)*'Hjelpeberegn_pers og husleie'!H19),0)</f>
        <v>0</v>
      </c>
      <c r="J19" s="8">
        <f t="shared" si="3"/>
        <v>0</v>
      </c>
      <c r="K19" s="8">
        <f>IFERROR(IF($B19="Vitenskapelig",_xlfn.XLOOKUP($D19,'Lønnstrinn -&gt; Lønnsbånd'!$E$6:$E$88,'Lønnstrinn -&gt; Lønnsbånd'!$G$6:$G$88,,,)*'Hjelpeberegn_pers og husleie'!J19,_xlfn.XLOOKUP($D19,'Lønnstrinn -&gt; Lønnsbånd'!$E$6:$E$88,'Lønnstrinn -&gt; Lønnsbånd'!$H$6:$H$88,,,)*'Hjelpeberegn_pers og husleie'!J19),0)</f>
        <v>0</v>
      </c>
      <c r="L19" s="8" t="e">
        <f t="shared" si="4"/>
        <v>#VALUE!</v>
      </c>
      <c r="M19" s="8">
        <f>IFERROR(IF($B19="Vitenskapelig",_xlfn.XLOOKUP($D19,'Lønnstrinn -&gt; Lønnsbånd'!$E$6:$E$88,'Lønnstrinn -&gt; Lønnsbånd'!$G$6:$G$88,,,)*'Hjelpeberegn_pers og husleie'!L19,_xlfn.XLOOKUP($D19,'Lønnstrinn -&gt; Lønnsbånd'!$E$6:$E$88,'Lønnstrinn -&gt; Lønnsbånd'!$H$6:$H$88,,,)*'Hjelpeberegn_pers og husleie'!L19),0)</f>
        <v>0</v>
      </c>
      <c r="N19" s="8"/>
      <c r="O19" s="8"/>
      <c r="AI19"/>
      <c r="AJ19"/>
    </row>
    <row r="20" spans="1:36" x14ac:dyDescent="0.25">
      <c r="F20" s="8" t="e">
        <f>SUM(F5:F19)</f>
        <v>#VALUE!</v>
      </c>
      <c r="G20" s="8">
        <f t="shared" ref="G20:M20" si="5">SUM(G5:G19)</f>
        <v>0</v>
      </c>
      <c r="H20" s="8">
        <f t="shared" si="5"/>
        <v>0</v>
      </c>
      <c r="I20" s="8">
        <f t="shared" si="5"/>
        <v>0</v>
      </c>
      <c r="J20" s="8">
        <f t="shared" si="5"/>
        <v>0</v>
      </c>
      <c r="K20" s="8">
        <f t="shared" si="5"/>
        <v>0</v>
      </c>
      <c r="L20" s="8" t="e">
        <f t="shared" si="5"/>
        <v>#VALUE!</v>
      </c>
      <c r="M20" s="8">
        <f t="shared" si="5"/>
        <v>0</v>
      </c>
      <c r="AI20"/>
      <c r="AJ20"/>
    </row>
    <row r="21" spans="1:36" x14ac:dyDescent="0.25">
      <c r="G21" s="16"/>
      <c r="H21" s="16"/>
    </row>
    <row r="22" spans="1:36" s="1" customFormat="1" x14ac:dyDescent="0.25">
      <c r="B22" s="111" t="s">
        <v>331</v>
      </c>
      <c r="C22" s="111"/>
      <c r="D22" s="111" t="s">
        <v>332</v>
      </c>
      <c r="E22" s="111"/>
      <c r="F22" s="1" t="s">
        <v>385</v>
      </c>
      <c r="G22" s="1" t="s">
        <v>427</v>
      </c>
    </row>
    <row r="23" spans="1:36" outlineLevel="1" x14ac:dyDescent="0.25">
      <c r="B23" t="s">
        <v>383</v>
      </c>
      <c r="C23" t="s">
        <v>384</v>
      </c>
      <c r="D23" t="s">
        <v>383</v>
      </c>
      <c r="E23" t="s">
        <v>384</v>
      </c>
      <c r="F23" t="s">
        <v>386</v>
      </c>
      <c r="G23" t="s">
        <v>386</v>
      </c>
      <c r="H23" t="s">
        <v>388</v>
      </c>
      <c r="I23" t="s">
        <v>389</v>
      </c>
      <c r="J23" t="s">
        <v>428</v>
      </c>
      <c r="AI23"/>
      <c r="AJ23"/>
    </row>
    <row r="24" spans="1:36" outlineLevel="1" x14ac:dyDescent="0.25">
      <c r="A24">
        <f t="shared" ref="A24:A38" si="6">A5</f>
        <v>0</v>
      </c>
      <c r="B24" s="48" t="str">
        <f>LEFT(Kostnadsbudsjett!I19,4)</f>
        <v/>
      </c>
      <c r="C24" s="48" t="str">
        <f>RIGHT(Kostnadsbudsjett!I19,2)</f>
        <v/>
      </c>
      <c r="D24" s="48" t="str">
        <f>LEFT(Kostnadsbudsjett!J19,4)</f>
        <v/>
      </c>
      <c r="E24" s="48" t="str">
        <f>RIGHT(Kostnadsbudsjett!J19,2)</f>
        <v/>
      </c>
      <c r="F24" t="str">
        <f>IFERROR((IF(D24=B24,E24-C24+1,IF(D24-B24&gt;1,(D24-B24-1)*12)+(13-C24)+E24)),"")</f>
        <v/>
      </c>
      <c r="G24">
        <f>IFERROR(IF(_xlfn.NUMBERVALUE(D24)&gt;=2026,((_xlfn.NUMBERVALUE(D24)-2026)+_xlfn.NUMBERVALUE(E24)),0),0)</f>
        <v>0</v>
      </c>
      <c r="H24" t="e">
        <f>(D5*1000*'Oppslag-fane'!$N$13)</f>
        <v>#VALUE!</v>
      </c>
      <c r="I24" t="e">
        <f>H24*(1+'Oppslag-fane'!$N$10)</f>
        <v>#VALUE!</v>
      </c>
      <c r="J24" t="e">
        <f>I24*(1+'Oppslag-fane'!$N$10)</f>
        <v>#VALUE!</v>
      </c>
      <c r="AI24"/>
      <c r="AJ24"/>
    </row>
    <row r="25" spans="1:36" outlineLevel="1" x14ac:dyDescent="0.25">
      <c r="A25">
        <f t="shared" si="6"/>
        <v>0</v>
      </c>
      <c r="B25" s="48" t="str">
        <f>LEFT(Kostnadsbudsjett!I20,4)</f>
        <v/>
      </c>
      <c r="C25" s="48" t="str">
        <f>RIGHT(Kostnadsbudsjett!I20,2)</f>
        <v/>
      </c>
      <c r="D25" s="48" t="str">
        <f>LEFT(Kostnadsbudsjett!J20,4)</f>
        <v/>
      </c>
      <c r="E25" s="48" t="str">
        <f>RIGHT(Kostnadsbudsjett!J20,2)</f>
        <v/>
      </c>
      <c r="F25" t="str">
        <f t="shared" ref="F25:F38" si="7">IFERROR((IF(D25=B25,E25-C25+1,IF(D25-B25&gt;1,(D25-B25-1)*12)+(13-C25)+E25)),"")</f>
        <v/>
      </c>
      <c r="G25">
        <f t="shared" ref="G25:G38" si="8">IFERROR(IF(_xlfn.NUMBERVALUE(D25)&gt;=2026,((_xlfn.NUMBERVALUE(D25)-2026)+_xlfn.NUMBERVALUE(E25)),0),0)</f>
        <v>0</v>
      </c>
      <c r="H25" t="e">
        <f>(D6*1000*'Oppslag-fane'!$N$13)</f>
        <v>#VALUE!</v>
      </c>
      <c r="I25" t="e">
        <f>H25*(1+'Oppslag-fane'!$N$10)</f>
        <v>#VALUE!</v>
      </c>
      <c r="J25" t="e">
        <f>I25*(1+'Oppslag-fane'!$N$10)</f>
        <v>#VALUE!</v>
      </c>
      <c r="K25" s="50"/>
      <c r="L25" s="50"/>
      <c r="AI25"/>
      <c r="AJ25"/>
    </row>
    <row r="26" spans="1:36" outlineLevel="1" x14ac:dyDescent="0.25">
      <c r="A26">
        <f t="shared" si="6"/>
        <v>0</v>
      </c>
      <c r="B26" s="48" t="str">
        <f>LEFT(Kostnadsbudsjett!I21,4)</f>
        <v/>
      </c>
      <c r="C26" s="48" t="str">
        <f>RIGHT(Kostnadsbudsjett!I21,2)</f>
        <v/>
      </c>
      <c r="D26" s="48" t="str">
        <f>LEFT(Kostnadsbudsjett!J21,4)</f>
        <v/>
      </c>
      <c r="E26" s="48" t="str">
        <f>RIGHT(Kostnadsbudsjett!J21,2)</f>
        <v/>
      </c>
      <c r="F26" t="str">
        <f t="shared" si="7"/>
        <v/>
      </c>
      <c r="G26">
        <f t="shared" si="8"/>
        <v>0</v>
      </c>
      <c r="H26" t="e">
        <f>(D7*1000*'Oppslag-fane'!$N$13)</f>
        <v>#VALUE!</v>
      </c>
      <c r="I26" t="e">
        <f>H26*(1+'Oppslag-fane'!$N$10)</f>
        <v>#VALUE!</v>
      </c>
      <c r="J26" t="e">
        <f>I26*(1+'Oppslag-fane'!$N$10)</f>
        <v>#VALUE!</v>
      </c>
      <c r="K26" s="11"/>
      <c r="L26" s="11"/>
      <c r="AI26"/>
      <c r="AJ26"/>
    </row>
    <row r="27" spans="1:36" outlineLevel="1" x14ac:dyDescent="0.25">
      <c r="A27">
        <f t="shared" si="6"/>
        <v>0</v>
      </c>
      <c r="B27" s="48" t="str">
        <f>LEFT(Kostnadsbudsjett!I22,4)</f>
        <v/>
      </c>
      <c r="C27" s="48" t="str">
        <f>RIGHT(Kostnadsbudsjett!I22,2)</f>
        <v/>
      </c>
      <c r="D27" s="48" t="str">
        <f>LEFT(Kostnadsbudsjett!J22,4)</f>
        <v/>
      </c>
      <c r="E27" s="48" t="str">
        <f>RIGHT(Kostnadsbudsjett!J22,2)</f>
        <v/>
      </c>
      <c r="F27" t="str">
        <f t="shared" si="7"/>
        <v/>
      </c>
      <c r="G27">
        <f t="shared" si="8"/>
        <v>0</v>
      </c>
      <c r="H27" t="e">
        <f>(D8*1000*'Oppslag-fane'!$N$13)</f>
        <v>#VALUE!</v>
      </c>
      <c r="I27" t="e">
        <f>H27*(1+'Oppslag-fane'!$N$10)</f>
        <v>#VALUE!</v>
      </c>
      <c r="J27" t="e">
        <f>I27*(1+'Oppslag-fane'!$N$10)</f>
        <v>#VALUE!</v>
      </c>
      <c r="K27" s="11"/>
      <c r="L27" s="11"/>
      <c r="AI27"/>
      <c r="AJ27"/>
    </row>
    <row r="28" spans="1:36" outlineLevel="1" x14ac:dyDescent="0.25">
      <c r="A28">
        <f t="shared" si="6"/>
        <v>0</v>
      </c>
      <c r="B28" s="48" t="str">
        <f>LEFT(Kostnadsbudsjett!I23,4)</f>
        <v/>
      </c>
      <c r="C28" s="48" t="str">
        <f>RIGHT(Kostnadsbudsjett!I23,2)</f>
        <v/>
      </c>
      <c r="D28" s="48" t="str">
        <f>LEFT(Kostnadsbudsjett!J23,4)</f>
        <v/>
      </c>
      <c r="E28" s="48" t="str">
        <f>RIGHT(Kostnadsbudsjett!J23,2)</f>
        <v/>
      </c>
      <c r="F28" t="str">
        <f t="shared" si="7"/>
        <v/>
      </c>
      <c r="G28">
        <f t="shared" si="8"/>
        <v>0</v>
      </c>
      <c r="H28" t="e">
        <f>(D9*1000*'Oppslag-fane'!$N$13)</f>
        <v>#VALUE!</v>
      </c>
      <c r="I28" t="e">
        <f>H28*(1+'Oppslag-fane'!$N$10)</f>
        <v>#VALUE!</v>
      </c>
      <c r="J28" t="e">
        <f>I28*(1+'Oppslag-fane'!$N$10)</f>
        <v>#VALUE!</v>
      </c>
      <c r="K28" s="11"/>
      <c r="L28" s="11"/>
      <c r="AI28"/>
      <c r="AJ28"/>
    </row>
    <row r="29" spans="1:36" outlineLevel="1" x14ac:dyDescent="0.25">
      <c r="A29">
        <f t="shared" si="6"/>
        <v>0</v>
      </c>
      <c r="B29" s="48" t="str">
        <f>LEFT(Kostnadsbudsjett!I24,4)</f>
        <v/>
      </c>
      <c r="C29" s="48" t="str">
        <f>RIGHT(Kostnadsbudsjett!I24,2)</f>
        <v/>
      </c>
      <c r="D29" s="48" t="str">
        <f>LEFT(Kostnadsbudsjett!J24,4)</f>
        <v/>
      </c>
      <c r="E29" s="48" t="str">
        <f>RIGHT(Kostnadsbudsjett!J24,2)</f>
        <v/>
      </c>
      <c r="F29" t="str">
        <f t="shared" si="7"/>
        <v/>
      </c>
      <c r="G29">
        <f t="shared" si="8"/>
        <v>0</v>
      </c>
      <c r="H29" t="e">
        <f>(D10*1000*'Oppslag-fane'!$N$13)</f>
        <v>#VALUE!</v>
      </c>
      <c r="I29" t="e">
        <f>H29*(1+'Oppslag-fane'!$N$10)</f>
        <v>#VALUE!</v>
      </c>
      <c r="J29" t="e">
        <f>I29*(1+'Oppslag-fane'!$N$10)</f>
        <v>#VALUE!</v>
      </c>
      <c r="K29" s="11"/>
      <c r="L29" s="11"/>
      <c r="AI29"/>
      <c r="AJ29"/>
    </row>
    <row r="30" spans="1:36" outlineLevel="1" x14ac:dyDescent="0.25">
      <c r="A30">
        <f t="shared" si="6"/>
        <v>0</v>
      </c>
      <c r="B30" s="48" t="str">
        <f>LEFT(Kostnadsbudsjett!I25,4)</f>
        <v/>
      </c>
      <c r="C30" s="48" t="str">
        <f>RIGHT(Kostnadsbudsjett!I25,2)</f>
        <v/>
      </c>
      <c r="D30" s="48" t="str">
        <f>LEFT(Kostnadsbudsjett!J25,4)</f>
        <v/>
      </c>
      <c r="E30" s="48" t="str">
        <f>RIGHT(Kostnadsbudsjett!J25,2)</f>
        <v/>
      </c>
      <c r="F30" t="str">
        <f t="shared" si="7"/>
        <v/>
      </c>
      <c r="G30">
        <f t="shared" si="8"/>
        <v>0</v>
      </c>
      <c r="H30" t="e">
        <f>(D11*1000*'Oppslag-fane'!$N$13)</f>
        <v>#VALUE!</v>
      </c>
      <c r="I30" t="e">
        <f>H30*(1+'Oppslag-fane'!$N$10)</f>
        <v>#VALUE!</v>
      </c>
      <c r="J30" t="e">
        <f>I30*(1+'Oppslag-fane'!$N$10)</f>
        <v>#VALUE!</v>
      </c>
      <c r="K30" s="11"/>
      <c r="L30" s="11"/>
      <c r="AI30"/>
      <c r="AJ30"/>
    </row>
    <row r="31" spans="1:36" outlineLevel="1" x14ac:dyDescent="0.25">
      <c r="A31">
        <f t="shared" si="6"/>
        <v>0</v>
      </c>
      <c r="B31" s="48" t="str">
        <f>LEFT(Kostnadsbudsjett!I26,4)</f>
        <v/>
      </c>
      <c r="C31" s="48" t="str">
        <f>RIGHT(Kostnadsbudsjett!I26,2)</f>
        <v/>
      </c>
      <c r="D31" s="48" t="str">
        <f>LEFT(Kostnadsbudsjett!J26,4)</f>
        <v/>
      </c>
      <c r="E31" s="48" t="str">
        <f>RIGHT(Kostnadsbudsjett!J26,2)</f>
        <v/>
      </c>
      <c r="F31" t="str">
        <f t="shared" si="7"/>
        <v/>
      </c>
      <c r="G31">
        <f t="shared" si="8"/>
        <v>0</v>
      </c>
      <c r="H31" t="e">
        <f>(D12*1000*'Oppslag-fane'!$N$13)</f>
        <v>#VALUE!</v>
      </c>
      <c r="I31" t="e">
        <f>H31*(1+'Oppslag-fane'!$N$10)</f>
        <v>#VALUE!</v>
      </c>
      <c r="J31" t="e">
        <f>I31*(1+'Oppslag-fane'!$N$10)</f>
        <v>#VALUE!</v>
      </c>
      <c r="K31" s="11"/>
      <c r="L31" s="11"/>
      <c r="P31" t="e">
        <f>J25*0.25*E6</f>
        <v>#VALUE!</v>
      </c>
      <c r="AI31"/>
      <c r="AJ31"/>
    </row>
    <row r="32" spans="1:36" outlineLevel="1" x14ac:dyDescent="0.25">
      <c r="A32">
        <f t="shared" si="6"/>
        <v>0</v>
      </c>
      <c r="B32" s="48" t="str">
        <f>LEFT(Kostnadsbudsjett!I27,4)</f>
        <v/>
      </c>
      <c r="C32" s="48" t="str">
        <f>RIGHT(Kostnadsbudsjett!I27,2)</f>
        <v/>
      </c>
      <c r="D32" s="48" t="str">
        <f>LEFT(Kostnadsbudsjett!J27,4)</f>
        <v/>
      </c>
      <c r="E32" s="48" t="str">
        <f>RIGHT(Kostnadsbudsjett!J27,2)</f>
        <v/>
      </c>
      <c r="F32" t="str">
        <f t="shared" si="7"/>
        <v/>
      </c>
      <c r="G32">
        <f t="shared" si="8"/>
        <v>0</v>
      </c>
      <c r="H32" t="e">
        <f>(D13*1000*'Oppslag-fane'!$N$13)</f>
        <v>#VALUE!</v>
      </c>
      <c r="I32" t="e">
        <f>H32*(1+'Oppslag-fane'!$N$10)</f>
        <v>#VALUE!</v>
      </c>
      <c r="J32" t="e">
        <f>I32*(1+'Oppslag-fane'!$N$10)</f>
        <v>#VALUE!</v>
      </c>
      <c r="K32" s="11"/>
      <c r="L32" s="11"/>
      <c r="AI32"/>
      <c r="AJ32"/>
    </row>
    <row r="33" spans="1:36" outlineLevel="1" x14ac:dyDescent="0.25">
      <c r="A33">
        <f t="shared" si="6"/>
        <v>0</v>
      </c>
      <c r="B33" s="48" t="str">
        <f>LEFT(Kostnadsbudsjett!I28,4)</f>
        <v/>
      </c>
      <c r="C33" s="48" t="str">
        <f>RIGHT(Kostnadsbudsjett!I28,2)</f>
        <v/>
      </c>
      <c r="D33" s="48" t="str">
        <f>LEFT(Kostnadsbudsjett!J28,4)</f>
        <v/>
      </c>
      <c r="E33" s="48" t="str">
        <f>RIGHT(Kostnadsbudsjett!J28,2)</f>
        <v/>
      </c>
      <c r="F33" t="str">
        <f t="shared" si="7"/>
        <v/>
      </c>
      <c r="G33">
        <f t="shared" si="8"/>
        <v>0</v>
      </c>
      <c r="H33" t="e">
        <f>(D14*1000*'Oppslag-fane'!$N$13)</f>
        <v>#VALUE!</v>
      </c>
      <c r="I33" t="e">
        <f>H33*(1+'Oppslag-fane'!$N$10)</f>
        <v>#VALUE!</v>
      </c>
      <c r="J33" t="e">
        <f>I33*(1+'Oppslag-fane'!$N$10)</f>
        <v>#VALUE!</v>
      </c>
      <c r="K33" s="11"/>
      <c r="L33" s="11"/>
      <c r="AI33"/>
      <c r="AJ33"/>
    </row>
    <row r="34" spans="1:36" outlineLevel="1" x14ac:dyDescent="0.25">
      <c r="A34">
        <f t="shared" si="6"/>
        <v>0</v>
      </c>
      <c r="B34" s="48" t="str">
        <f>LEFT(Kostnadsbudsjett!I29,4)</f>
        <v/>
      </c>
      <c r="C34" s="48" t="str">
        <f>RIGHT(Kostnadsbudsjett!I29,2)</f>
        <v/>
      </c>
      <c r="D34" s="48" t="str">
        <f>LEFT(Kostnadsbudsjett!J29,4)</f>
        <v/>
      </c>
      <c r="E34" s="48" t="str">
        <f>RIGHT(Kostnadsbudsjett!J29,2)</f>
        <v/>
      </c>
      <c r="F34" t="str">
        <f t="shared" si="7"/>
        <v/>
      </c>
      <c r="G34">
        <f t="shared" si="8"/>
        <v>0</v>
      </c>
      <c r="H34" t="e">
        <f>(D15*1000*'Oppslag-fane'!$N$13)</f>
        <v>#VALUE!</v>
      </c>
      <c r="I34" t="e">
        <f>H34*(1+'Oppslag-fane'!$N$10)</f>
        <v>#VALUE!</v>
      </c>
      <c r="J34" t="e">
        <f>I34*(1+'Oppslag-fane'!$N$10)</f>
        <v>#VALUE!</v>
      </c>
      <c r="K34" s="11"/>
      <c r="L34" s="11"/>
      <c r="AI34"/>
      <c r="AJ34"/>
    </row>
    <row r="35" spans="1:36" outlineLevel="1" x14ac:dyDescent="0.25">
      <c r="A35">
        <f t="shared" si="6"/>
        <v>0</v>
      </c>
      <c r="B35" s="48" t="str">
        <f>LEFT(Kostnadsbudsjett!I30,4)</f>
        <v/>
      </c>
      <c r="C35" s="48" t="str">
        <f>RIGHT(Kostnadsbudsjett!I30,2)</f>
        <v/>
      </c>
      <c r="D35" s="48" t="str">
        <f>LEFT(Kostnadsbudsjett!J30,4)</f>
        <v/>
      </c>
      <c r="E35" s="48" t="str">
        <f>RIGHT(Kostnadsbudsjett!J30,2)</f>
        <v/>
      </c>
      <c r="F35" t="str">
        <f t="shared" si="7"/>
        <v/>
      </c>
      <c r="G35">
        <f t="shared" si="8"/>
        <v>0</v>
      </c>
      <c r="H35" t="e">
        <f>(D16*1000*'Oppslag-fane'!$N$13)</f>
        <v>#VALUE!</v>
      </c>
      <c r="I35" t="e">
        <f>H35*(1+'Oppslag-fane'!$N$10)</f>
        <v>#VALUE!</v>
      </c>
      <c r="J35" t="e">
        <f>I35*(1+'Oppslag-fane'!$N$10)</f>
        <v>#VALUE!</v>
      </c>
      <c r="K35" s="11"/>
      <c r="L35" s="11"/>
      <c r="AI35"/>
      <c r="AJ35"/>
    </row>
    <row r="36" spans="1:36" outlineLevel="1" x14ac:dyDescent="0.25">
      <c r="A36">
        <f t="shared" si="6"/>
        <v>0</v>
      </c>
      <c r="B36" s="48" t="str">
        <f>LEFT(Kostnadsbudsjett!I31,4)</f>
        <v/>
      </c>
      <c r="C36" s="48" t="str">
        <f>RIGHT(Kostnadsbudsjett!I31,2)</f>
        <v/>
      </c>
      <c r="D36" s="48" t="str">
        <f>LEFT(Kostnadsbudsjett!J31,4)</f>
        <v/>
      </c>
      <c r="E36" s="48" t="str">
        <f>RIGHT(Kostnadsbudsjett!J31,2)</f>
        <v/>
      </c>
      <c r="F36" t="str">
        <f t="shared" si="7"/>
        <v/>
      </c>
      <c r="G36">
        <f t="shared" si="8"/>
        <v>0</v>
      </c>
      <c r="H36" t="e">
        <f>(D17*1000*'Oppslag-fane'!$N$13)</f>
        <v>#VALUE!</v>
      </c>
      <c r="I36" t="e">
        <f>H36*(1+'Oppslag-fane'!$N$10)</f>
        <v>#VALUE!</v>
      </c>
      <c r="J36" t="e">
        <f>I36*(1+'Oppslag-fane'!$N$10)</f>
        <v>#VALUE!</v>
      </c>
      <c r="K36" s="11"/>
      <c r="L36" s="11"/>
      <c r="AI36"/>
      <c r="AJ36"/>
    </row>
    <row r="37" spans="1:36" outlineLevel="1" x14ac:dyDescent="0.25">
      <c r="A37">
        <f t="shared" si="6"/>
        <v>0</v>
      </c>
      <c r="B37" s="48" t="str">
        <f>LEFT(Kostnadsbudsjett!I32,4)</f>
        <v/>
      </c>
      <c r="C37" s="48" t="str">
        <f>RIGHT(Kostnadsbudsjett!I32,2)</f>
        <v/>
      </c>
      <c r="D37" s="48" t="str">
        <f>LEFT(Kostnadsbudsjett!J32,4)</f>
        <v/>
      </c>
      <c r="E37" s="48" t="str">
        <f>RIGHT(Kostnadsbudsjett!J32,2)</f>
        <v/>
      </c>
      <c r="F37" t="str">
        <f t="shared" si="7"/>
        <v/>
      </c>
      <c r="G37">
        <f t="shared" si="8"/>
        <v>0</v>
      </c>
      <c r="H37" t="e">
        <f>(D18*1000*'Oppslag-fane'!$N$13)</f>
        <v>#VALUE!</v>
      </c>
      <c r="I37" t="e">
        <f>H37*(1+'Oppslag-fane'!$N$10)</f>
        <v>#VALUE!</v>
      </c>
      <c r="J37" t="e">
        <f>I37*(1+'Oppslag-fane'!$N$10)</f>
        <v>#VALUE!</v>
      </c>
      <c r="K37" s="11"/>
      <c r="L37" s="11"/>
      <c r="AI37"/>
      <c r="AJ37"/>
    </row>
    <row r="38" spans="1:36" outlineLevel="1" x14ac:dyDescent="0.25">
      <c r="A38">
        <f t="shared" si="6"/>
        <v>0</v>
      </c>
      <c r="B38" s="48" t="str">
        <f>LEFT(Kostnadsbudsjett!I33,4)</f>
        <v/>
      </c>
      <c r="C38" s="48" t="str">
        <f>RIGHT(Kostnadsbudsjett!I33,2)</f>
        <v/>
      </c>
      <c r="D38" s="48" t="str">
        <f>LEFT(Kostnadsbudsjett!J33,4)</f>
        <v/>
      </c>
      <c r="E38" s="48" t="str">
        <f>RIGHT(Kostnadsbudsjett!J33,2)</f>
        <v/>
      </c>
      <c r="F38" t="str">
        <f t="shared" si="7"/>
        <v/>
      </c>
      <c r="G38">
        <f t="shared" si="8"/>
        <v>0</v>
      </c>
      <c r="H38" t="e">
        <f>(D19*1000*'Oppslag-fane'!$N$13)</f>
        <v>#VALUE!</v>
      </c>
      <c r="I38" t="e">
        <f>H38*(1+'Oppslag-fane'!$N$10)</f>
        <v>#VALUE!</v>
      </c>
      <c r="J38" t="e">
        <f>I38*(1+'Oppslag-fane'!$N$10)</f>
        <v>#VALUE!</v>
      </c>
      <c r="K38" s="11"/>
      <c r="L38" s="11"/>
      <c r="AI38"/>
      <c r="AJ38"/>
    </row>
    <row r="41" spans="1:36" x14ac:dyDescent="0.25">
      <c r="AC41" s="11"/>
      <c r="AD41" s="11"/>
      <c r="AI41"/>
      <c r="AJ41"/>
    </row>
    <row r="42" spans="1:36" x14ac:dyDescent="0.25">
      <c r="AC42" s="11"/>
      <c r="AD42" s="11"/>
      <c r="AI42"/>
      <c r="AJ42"/>
    </row>
    <row r="43" spans="1:36" x14ac:dyDescent="0.25">
      <c r="AC43" s="11"/>
      <c r="AD43" s="11"/>
      <c r="AI43"/>
      <c r="AJ43"/>
    </row>
    <row r="44" spans="1:36" ht="23.25" x14ac:dyDescent="0.35">
      <c r="A44" s="22" t="s">
        <v>329</v>
      </c>
      <c r="AC44" s="11"/>
      <c r="AD44" s="11"/>
      <c r="AI44"/>
      <c r="AJ44"/>
    </row>
    <row r="46" spans="1:36" x14ac:dyDescent="0.25">
      <c r="A46" t="s">
        <v>416</v>
      </c>
      <c r="C46">
        <f>IF(Prosjektopplysninger!B8="Etterutdanning",Prosjektopplysninger!D6,(Prosjektopplysninger!D5*5))</f>
        <v>0</v>
      </c>
    </row>
  </sheetData>
  <sheetProtection algorithmName="SHA-512" hashValue="lbNXoI/w76DIcx1KdU17nUBmkpIBly4RzD041mjA5Vv2FzTke47BlVqHi+RM0Ju3d9Bxx34Y9XbuLQqf8QRugQ==" saltValue="pc3ascUr/tam28Cw7GD0qQ==" spinCount="100000" sheet="1" objects="1" scenarios="1"/>
  <mergeCells count="6">
    <mergeCell ref="H3:I3"/>
    <mergeCell ref="J3:K3"/>
    <mergeCell ref="L3:M3"/>
    <mergeCell ref="B22:C22"/>
    <mergeCell ref="D22:E22"/>
    <mergeCell ref="F3:G3"/>
  </mergeCells>
  <phoneticPr fontId="11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Versjonsinformasjon</vt:lpstr>
      <vt:lpstr>Prosjektopplysninger</vt:lpstr>
      <vt:lpstr>Kostnadsbudsjett</vt:lpstr>
      <vt:lpstr>Finans.- og beslutningsrapport</vt:lpstr>
      <vt:lpstr>Oppslag-fane</vt:lpstr>
      <vt:lpstr>Lønnstrinn -&gt; Lønnsbånd</vt:lpstr>
      <vt:lpstr>Hjelpeberegn_pers og husleie</vt:lpstr>
      <vt:lpstr>IKsatser</vt:lpstr>
      <vt:lpstr>LstDrift</vt:lpstr>
      <vt:lpstr>LstKsted_navn</vt:lpstr>
      <vt:lpstr>LstKsteder</vt:lpstr>
      <vt:lpstr>LstLband</vt:lpstr>
      <vt:lpstr>LstRoller</vt:lpstr>
      <vt:lpstr>LstRoller_info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Terje Ruud</dc:creator>
  <cp:lastModifiedBy>Terje Ruud</cp:lastModifiedBy>
  <cp:lastPrinted>2022-12-27T12:36:27Z</cp:lastPrinted>
  <dcterms:created xsi:type="dcterms:W3CDTF">2022-10-19T05:44:33Z</dcterms:created>
  <dcterms:modified xsi:type="dcterms:W3CDTF">2024-06-18T11:26:03Z</dcterms:modified>
</cp:coreProperties>
</file>