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tudntnu-my.sharepoint.com/personal/annettey_ntnu_no/Documents/NY-VIRK/"/>
    </mc:Choice>
  </mc:AlternateContent>
  <xr:revisionPtr revIDLastSave="0" documentId="8_{844EDACF-C37F-408D-B4EF-56CCF243E34A}" xr6:coauthVersionLast="47" xr6:coauthVersionMax="47" xr10:uidLastSave="{00000000-0000-0000-0000-000000000000}"/>
  <bookViews>
    <workbookView xWindow="20700" yWindow="0" windowWidth="30900" windowHeight="21000" activeTab="1" xr2:uid="{59BCFB76-1A78-46E3-A722-67FA618FA14A}"/>
  </bookViews>
  <sheets>
    <sheet name="Brukerveiledning" sheetId="1" r:id="rId1"/>
    <sheet name="Input" sheetId="2" r:id="rId2"/>
    <sheet name="Beregninger" sheetId="6" r:id="rId3"/>
    <sheet name="Unntak i egenbetalingsforskrift" sheetId="3" r:id="rId4"/>
    <sheet name="Finanseringskategorier" sheetId="4" r:id="rId5"/>
    <sheet name="List" sheetId="5" state="hidden" r:id="rId6"/>
  </sheets>
  <definedNames>
    <definedName name="IØA">List!$B$5:$B$6</definedName>
    <definedName name="Ja">List!$J$2:$J$51</definedName>
    <definedName name="Nei">List!$K$2:$K$37</definedName>
    <definedName name="ØA">List!$C$5:$C$8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6" l="1"/>
  <c r="D19" i="6"/>
  <c r="C24" i="6"/>
  <c r="C23" i="6"/>
  <c r="C54" i="6" s="1"/>
  <c r="C22" i="6"/>
  <c r="C53" i="6" s="1"/>
  <c r="C21" i="6"/>
  <c r="C20" i="6"/>
  <c r="C51" i="6" s="1"/>
  <c r="C19" i="6"/>
  <c r="N14" i="2"/>
  <c r="B3" i="6"/>
  <c r="B18" i="6" s="1"/>
  <c r="C50" i="6"/>
  <c r="D20" i="6"/>
  <c r="D21" i="6"/>
  <c r="D22" i="6"/>
  <c r="D23" i="6"/>
  <c r="D24" i="6"/>
  <c r="B4" i="6"/>
  <c r="C4" i="6"/>
  <c r="D4" i="6"/>
  <c r="E4" i="6"/>
  <c r="B5" i="6"/>
  <c r="C5" i="6"/>
  <c r="D5" i="6"/>
  <c r="E5" i="6"/>
  <c r="B6" i="6"/>
  <c r="A6" i="6" s="1"/>
  <c r="C6" i="6"/>
  <c r="D6" i="6"/>
  <c r="C41" i="6" s="1"/>
  <c r="E6" i="6"/>
  <c r="B7" i="6"/>
  <c r="C7" i="6"/>
  <c r="D7" i="6"/>
  <c r="E7" i="6"/>
  <c r="B8" i="6"/>
  <c r="C8" i="6"/>
  <c r="D8" i="6"/>
  <c r="E8" i="6"/>
  <c r="B9" i="6"/>
  <c r="A9" i="6" s="1"/>
  <c r="C9" i="6"/>
  <c r="D9" i="6"/>
  <c r="C44" i="6" s="1"/>
  <c r="E9" i="6"/>
  <c r="M14" i="2"/>
  <c r="M2" i="6"/>
  <c r="X14" i="2"/>
  <c r="S14" i="2"/>
  <c r="A26" i="6"/>
  <c r="A27" i="6"/>
  <c r="A28" i="6"/>
  <c r="A29" i="6"/>
  <c r="A30" i="6"/>
  <c r="A25" i="6"/>
  <c r="A11" i="6"/>
  <c r="A12" i="6"/>
  <c r="A13" i="6"/>
  <c r="A14" i="6"/>
  <c r="A15" i="6"/>
  <c r="A10" i="6"/>
  <c r="A5" i="6"/>
  <c r="A7" i="6"/>
  <c r="A8" i="6"/>
  <c r="A4" i="6"/>
  <c r="A20" i="6"/>
  <c r="A21" i="6"/>
  <c r="A22" i="6"/>
  <c r="A23" i="6"/>
  <c r="A24" i="6"/>
  <c r="A19" i="6"/>
  <c r="C52" i="6"/>
  <c r="C55" i="6"/>
  <c r="C40" i="6"/>
  <c r="C42" i="6"/>
  <c r="C43" i="6"/>
  <c r="O14" i="2" l="1"/>
  <c r="Z14" i="2" s="1"/>
  <c r="B38" i="6"/>
  <c r="B49" i="6" s="1"/>
  <c r="T14" i="2"/>
  <c r="W14" i="2" s="1"/>
  <c r="P14" i="2"/>
  <c r="V14" i="2" s="1"/>
  <c r="Q14" i="2"/>
  <c r="U14" i="2" s="1"/>
  <c r="R14" i="2"/>
  <c r="Y14" i="2" s="1"/>
  <c r="AB14" i="2" l="1"/>
  <c r="C20" i="2"/>
  <c r="C21" i="2" s="1"/>
  <c r="AA14" i="2"/>
  <c r="C25" i="2" s="1"/>
  <c r="L4" i="6" s="1"/>
  <c r="C24" i="2" l="1"/>
  <c r="K4" i="6" s="1"/>
  <c r="J3" i="6"/>
  <c r="C31" i="2"/>
  <c r="D25" i="2"/>
  <c r="D24" i="2" l="1"/>
  <c r="D26" i="2" s="1"/>
  <c r="C30" i="2"/>
  <c r="C26" i="2"/>
  <c r="C27" i="2" s="1"/>
  <c r="D27" i="2" l="1"/>
  <c r="M5" i="6"/>
</calcChain>
</file>

<file path=xl/sharedStrings.xml><?xml version="1.0" encoding="utf-8"?>
<sst xmlns="http://schemas.openxmlformats.org/spreadsheetml/2006/main" count="259" uniqueCount="139">
  <si>
    <t>i.</t>
  </si>
  <si>
    <t>I arkfanen 'Input' skal man legge inn data som beregningene utføres på bakgrunn av. Det er kun her man skal legge inn data</t>
  </si>
  <si>
    <t>ii.</t>
  </si>
  <si>
    <t>I arkfanen 'Oppsummert' får man en oversikt over resultatene fra beregningene, basert på hva man la inn i arket 'Input'</t>
  </si>
  <si>
    <t>iii.</t>
  </si>
  <si>
    <t>Arkfanet 'Unntak i egenbetalingsforskriften' er til informasjon</t>
  </si>
  <si>
    <t>iv.</t>
  </si>
  <si>
    <t>Arkfanet 'Finansieringskategorier' er til informasjon</t>
  </si>
  <si>
    <t>Nærmere om arkfanen 'Input'</t>
  </si>
  <si>
    <t>Input</t>
  </si>
  <si>
    <t>Data legges inn i celler merket lys blå, i arket 'Input'. Celler uten denne fargen skal ikke røres</t>
  </si>
  <si>
    <t>Ikke i bruk</t>
  </si>
  <si>
    <t>Basert på valgene man gjør vil noen celler bli skravert ut, som betyr at de ikke brukes i beregningene</t>
  </si>
  <si>
    <t>Aktivitet</t>
  </si>
  <si>
    <t>1.</t>
  </si>
  <si>
    <t>IØA</t>
  </si>
  <si>
    <t>Velg om aktiviteten man skal gjennomføre er av økonomisk eller ikke-økonomisk art ved å bruke nedtrekksmenyen, se forklaring i arkfane 'Unntak i egenbetalingsforskriften'</t>
  </si>
  <si>
    <t>Unntak i § 3-2 (1)</t>
  </si>
  <si>
    <t>2.</t>
  </si>
  <si>
    <t>b.</t>
  </si>
  <si>
    <t>Velg hvilket unntak man vil gjøre en beregning for ved å bruke nedtrekksmenyen, se forklaring i arkfane 'Unntak i egenbetalingsforskriften'</t>
  </si>
  <si>
    <t>3.</t>
  </si>
  <si>
    <t>Ja</t>
  </si>
  <si>
    <t>Fortjeneste</t>
  </si>
  <si>
    <t>4.</t>
  </si>
  <si>
    <t>Hvis unntaket beskriver økonomisk aktivitet må man legge inn minst 5 prosent fortjeneste. Ved ikke-økonomisk aktivitet er ikke dette et valg</t>
  </si>
  <si>
    <t>Finansieringskategori</t>
  </si>
  <si>
    <t>5.</t>
  </si>
  <si>
    <t>D</t>
  </si>
  <si>
    <t>Velg den finansieringskategorien KD ville plassert denne aktiviteten i ved å bruke nedtrekksmenyen, se forklaring arkfane 'Finansieringskategorier'</t>
  </si>
  <si>
    <t>Egenfinansieringsprosent</t>
  </si>
  <si>
    <t>6.</t>
  </si>
  <si>
    <t>Tilbudte studiepoeng</t>
  </si>
  <si>
    <t>7.</t>
  </si>
  <si>
    <t>Legg inn omfanget av studiepoeng aktiviteten medfører. F.eks. kan en master ha 120 studiepoeng, mens et enkeltemne kan ha 7,5 studiepoeng i omfang</t>
  </si>
  <si>
    <t>Inngår emnet i et masterprogram?</t>
  </si>
  <si>
    <t>8.</t>
  </si>
  <si>
    <t>Om emnet inngår i en gradsgivende grad</t>
  </si>
  <si>
    <t>Studiepoeng oppnådd grad</t>
  </si>
  <si>
    <t>9.</t>
  </si>
  <si>
    <t>Hvis emnet inngår i en gradsgivende grad må omfanget av graden spesifiseres</t>
  </si>
  <si>
    <t>Antall studenter</t>
  </si>
  <si>
    <t>10.</t>
  </si>
  <si>
    <t>Legg inn antall studenter (antall hoder) som skal følge undervisningen</t>
  </si>
  <si>
    <t>Gjennomføringsprosent</t>
  </si>
  <si>
    <t>11.</t>
  </si>
  <si>
    <t>Hvor stor andel av studentene tror man kommer til å gjennomføre aktiviteten med godkjent resultat</t>
  </si>
  <si>
    <t>Kostnader</t>
  </si>
  <si>
    <t>12.</t>
  </si>
  <si>
    <t>Totale kostnader fra TDI</t>
  </si>
  <si>
    <t>Hvis man har beregnet totale kostnader for aktiviteten i TDI-modellen kan dette limes inn her. Hvis man ikke har beregnet dette lar man denne stå tom, og får en beregnet totalkostnad. For unntak a. Kurs må man lime inn en totalkostnad fra TDI-modellen</t>
  </si>
  <si>
    <t>Totale kostnader</t>
  </si>
  <si>
    <t>Som nevnt under punkt 10. vil man få en beregnet total kostnad hvis man ikke fyller ut feltet 'Totale kostnader fra TDI', som vises i cellen 'Totale kostnader KD-modellen' (celle C17 i input-arket).</t>
  </si>
  <si>
    <t>Totale kostnader KD-modellen framkommer som en konsekvens av valgene man har gjort i de blå input-cellene.</t>
  </si>
  <si>
    <t>Gitt informasjonen som er lagt inn om finansieringskategori, tilbudte studiepoeng og antall studenter framkommer totale kostnader som basis + studiepoengbevilgning (+kandidatbevilgning for unntak c).</t>
  </si>
  <si>
    <t>Hvor:</t>
  </si>
  <si>
    <t>Basis = finansieringskategori basis*(tilbudte studiepoeng/60)*antall studenter</t>
  </si>
  <si>
    <t>Studiepoengbevilgning = finansieringskategori studiepoeng*(tilbudte studiepoeng/60)*antall studenter</t>
  </si>
  <si>
    <t>Kandidatbevilgning = finansieringskategori kandidater*(tilbudte studiepoeng/120)*antall studenter</t>
  </si>
  <si>
    <t>Merk at kandidatbevilgning kun gis etter fullført grad (120 studiepoeng), men den tas med i beregningen av totale kostnader selv om emnet f.eks. er på 7,5 studiepoeng. Det er da emnets andel (7,5/120) av kandidatbevilgningen som inkluderes i beregningen.</t>
  </si>
  <si>
    <t>Tabellen under viser KDs finansieringskategorier:</t>
  </si>
  <si>
    <t>Basis KD</t>
  </si>
  <si>
    <t>Studiepoeng KD</t>
  </si>
  <si>
    <t>Kandidat enkel KD</t>
  </si>
  <si>
    <t>A</t>
  </si>
  <si>
    <t>B</t>
  </si>
  <si>
    <t>C</t>
  </si>
  <si>
    <t>E</t>
  </si>
  <si>
    <t>F</t>
  </si>
  <si>
    <t>Betaling per student</t>
  </si>
  <si>
    <t>Betaling per student er en funksjon av valgene man har gjort i de blå input-cellene.</t>
  </si>
  <si>
    <t>Hvis man likevel ønsker å sette betaling per student til et gitt beløp må man gjøre dette ved å skru på egenfinansieringsprosenten.</t>
  </si>
  <si>
    <t>Eksempel på bruk av målsøking:</t>
  </si>
  <si>
    <t>--&gt;Gå til flippen 'Data' øverst i excel-vinduet</t>
  </si>
  <si>
    <t>--&gt; 'Hva-skjer-hvis-analyse'--&gt;'Målsøking'</t>
  </si>
  <si>
    <t>--&gt; I spesifikasjonsvinduet som dukker opp setter man celle C26 (betaling per student) til ønsket beløp (f.eks. 20.000 kr), ved å endre celle F12 (egenfinansieringsprosenten).--&gt;Trykk 'Ok'.</t>
  </si>
  <si>
    <t>A.</t>
  </si>
  <si>
    <t>Kurs</t>
  </si>
  <si>
    <t>B.</t>
  </si>
  <si>
    <t>Studenter som fyller opp plasser på studieprogram eller fag/emner som er oppdragsfinansiert.</t>
  </si>
  <si>
    <t>C.</t>
  </si>
  <si>
    <t>For studiepoenggivende utdanningstilbud:  søker har minst to års arbeidserfaring, og den praktiske gjennomføringen av tilbudet er særlig tilpasset for personer i arbeid</t>
  </si>
  <si>
    <t>D.</t>
  </si>
  <si>
    <t>For studiepoenggivende utdanningstilbud: søker har minst to års arbeidserfaring, og innholdet i tilbudet er særlig utviklet for personer med arbeidserfaring.</t>
  </si>
  <si>
    <t>Ikke-økonomisk aktivitet</t>
  </si>
  <si>
    <t>ØA</t>
  </si>
  <si>
    <t>Økonomisk aktivitet</t>
  </si>
  <si>
    <t>Satser</t>
  </si>
  <si>
    <t>Totale kostnader KD-modell</t>
  </si>
  <si>
    <t>Dummy IØA</t>
  </si>
  <si>
    <t>Antall årsenheter</t>
  </si>
  <si>
    <t>SPE-sats KD</t>
  </si>
  <si>
    <t>SPE-sats RFM</t>
  </si>
  <si>
    <t>Kandprod-sats KD</t>
  </si>
  <si>
    <t>Kandprod-sats RFM</t>
  </si>
  <si>
    <t>Dummy kandidat</t>
  </si>
  <si>
    <t>SPE-bevilgning KD</t>
  </si>
  <si>
    <t>Kand-bev KD</t>
  </si>
  <si>
    <t>Totale kostnader KD-modellen</t>
  </si>
  <si>
    <t>Kand-bev RFM</t>
  </si>
  <si>
    <t>SPE-bevilgning RFM</t>
  </si>
  <si>
    <t>Resultatbev RFM</t>
  </si>
  <si>
    <t>Studentbetaling</t>
  </si>
  <si>
    <t>Nei</t>
  </si>
  <si>
    <t>Inntekter</t>
  </si>
  <si>
    <t>I prosent av totale kostnader</t>
  </si>
  <si>
    <t>Resultatbevilgning RFM</t>
  </si>
  <si>
    <t>Sum inntekter</t>
  </si>
  <si>
    <t>Udekte kostnader</t>
  </si>
  <si>
    <t>Bevilgning RFM per student</t>
  </si>
  <si>
    <t>RFM</t>
  </si>
  <si>
    <t>Studiepoeng</t>
  </si>
  <si>
    <t>Kandidat enkel</t>
  </si>
  <si>
    <t>I prosent av KDs satser</t>
  </si>
  <si>
    <t>Unntak i § 3-2 (1):</t>
  </si>
  <si>
    <t>Egenbetaling (studentbetaling)</t>
  </si>
  <si>
    <t>A. Kurs</t>
  </si>
  <si>
    <t>X</t>
  </si>
  <si>
    <t xml:space="preserve">100 % av totale kostnader pluss margin for fortjeneste </t>
  </si>
  <si>
    <t>B. Studenter som fyller opp plasser på studieprogram eller fag/emner som er oppdragsfinansiert.</t>
  </si>
  <si>
    <t>C. For studiepoenggivende utdanningstilbud:  søker har minst to års arbeidserfaring, og den praktiske gjennomføringen av tilbudet er særlig tilpasset for personer i arbeid</t>
  </si>
  <si>
    <t>Egenbetalingen skal dekke enten inntil 49 % av kostnadene (ikke-økonomisk aktivitet) ved kurset eller utdanningstilbudet, eller alle kostnadene pluss margin for fortjeneste (økonomisk aktivitet) ved kurset eller utdanningstilbudet.</t>
  </si>
  <si>
    <t xml:space="preserve"> D. For studiepoenggivende utdanningstilbud: søker har minst to års arbeidserfaring, og innholdet i tilbudet er særlig utviklet for personer med arbeidserfaring.</t>
  </si>
  <si>
    <t>Kategori</t>
  </si>
  <si>
    <t>Beskrivelse</t>
  </si>
  <si>
    <t>Profesjonsstudiene i medisin og odontologi, veterinærstudiet, kunstakademiet (NTNU), film- og fjernsynsutdanning (HiL) og scenografi og skuespill (HiØ).</t>
  </si>
  <si>
    <t>Femårige masterprogram i arkitektur og industridesign, utøvende kunst- og musikkutdanninger på lavere og høyere grads nivå, grunnutdanning i produktdesign, grunnutdanning i animasjon, profesjonsstudiene i psykologi og farmasi, grunnutdanning i ortopediingeniør.</t>
  </si>
  <si>
    <t>Realfag, teknologi, fiskerifag og kunst på høyere grads nivå, faglærerutdanning i musikk, dans og drama.</t>
  </si>
  <si>
    <t>Humanistiske, samfunns- og idrettsvitenskapelige fag på høyere grads nivå, 5-årige masterprogram i teknologi, bibliotek, økonomi og administrasjon på høyere grads nivå. Grunnutdanning i fysioterapi, mensendieck, bioingeniør, ergoterapi, radiografi, audiograf, døvetolk, reseptar, tannteknikk, tannpleie, fotojournalist, jordmor, stråleterapi, ABIOK-utdanninger (videreutdanning i anestesi-, barne-, intensiv-, operasjons- og kreftsykepleie). Visuell kommunikasjon, tekniske mediefag (film- og fjernsynsproduksjon), grunnskolelærerutdanning, faglærerutdanning i kunst- og håndtverksfag, allmennlærerutdanning med fordyping i musikk, 5-årig integrert lærerutdanning, årsstudium i praktisk pedagogisk utdanning.</t>
  </si>
  <si>
    <t>Sykepleier-, vernepleier-, barnevernspedagog- , barnehagelærer-, yrkesfaglærer, journalist-, ingeniør- og dyrepleierutdanning. Profesjonsstudiet i juss, faglærerutdanning i praktisk estetiske fag, faglærerutdanning i kroppsøving. Teknologisk og maritim utdanning, realfag, idrettsfag, friluftsfag, kunstfag, landbruksfag, skogfag, husdyrfag og fiskerifag på lavere grads nivå. Videreutdanning i helsesøster, psykisk helse og tegnspråk.</t>
  </si>
  <si>
    <t>Humanistiske og samfunnsvitenskapelige fag på lavere grads nivå, økonomi og administrasjon på lavere grads nivå, revisor-, sosionom-, bibliotekarutdanning, reiseliv og ex.phil.</t>
  </si>
  <si>
    <t>Lyst ut FØR 01.01.2024</t>
  </si>
  <si>
    <r>
      <rPr>
        <b/>
        <sz val="11"/>
        <color rgb="FFFF0000"/>
        <rFont val="Calibri"/>
        <family val="2"/>
        <scheme val="minor"/>
      </rPr>
      <t xml:space="preserve">Studietilbud som lyses ut ETTER 01.01.24 </t>
    </r>
    <r>
      <rPr>
        <b/>
        <sz val="11"/>
        <color theme="1"/>
        <rFont val="Calibri"/>
        <family val="2"/>
        <scheme val="minor"/>
      </rPr>
      <t>må forholde seg til forskriftsendring</t>
    </r>
  </si>
  <si>
    <r>
      <rPr>
        <b/>
        <sz val="11"/>
        <color rgb="FFFF0000"/>
        <rFont val="Calibri"/>
        <family val="2"/>
        <scheme val="minor"/>
      </rPr>
      <t>Studietilbud som lyses ut FØR 01.01.24</t>
    </r>
    <r>
      <rPr>
        <b/>
        <sz val="11"/>
        <color theme="1"/>
        <rFont val="Calibri"/>
        <family val="2"/>
        <scheme val="minor"/>
      </rPr>
      <t xml:space="preserve"> kan ta egenbetaling i samsvar med dagens regler frem til 01.01.23. Dersom egenbetalingen kan bli økt etter dette tidspunktet, må søkerne orienteres om dette når studietilbudet lyses ut</t>
    </r>
  </si>
  <si>
    <t>2024-kr</t>
  </si>
  <si>
    <t>Egenfinansieringsprosent mellom 51 % til 75 % kan kun benyttes for studietilbud som er lyst ut før 1.januar 2024. Se ark-fane "Unntak i egenbetalingforsk"</t>
  </si>
  <si>
    <t xml:space="preserve">Velg hvilken egenfinansieringsprosent studieprogrammet aktiviteten skal gjennomføres innenfor har, ved å bruke nedtrekksmenyen. </t>
  </si>
  <si>
    <t xml:space="preserve">Man kan enten gjøre dette manuelt ved å prøve seg fram, eller ved å bruke målsøking. </t>
  </si>
  <si>
    <t>Egenbetalingen skal dekke enten inntil 35 % av kostnadene (ikke-økonomisk aktivitet) ved kurset eller utdanningstilbudet, eller alle kostnadene pluss margin for fortjeneste (økonomisk aktivitet) ved kurset eller utdanningstilbudet.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</si>
</sst>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_-;\-* #,##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2" borderId="0" xfId="0" applyFill="1"/>
    <xf numFmtId="0" fontId="2" fillId="2" borderId="0" xfId="0" applyFont="1" applyFill="1"/>
    <xf numFmtId="0" fontId="2" fillId="0" borderId="0" xfId="0" applyFont="1"/>
    <xf numFmtId="9" fontId="0" fillId="2" borderId="0" xfId="2" applyFont="1" applyFill="1" applyBorder="1"/>
    <xf numFmtId="0" fontId="0" fillId="2" borderId="0" xfId="0" applyFill="1" applyAlignment="1">
      <alignment wrapText="1"/>
    </xf>
    <xf numFmtId="0" fontId="4" fillId="2" borderId="0" xfId="0" applyFont="1" applyFill="1"/>
    <xf numFmtId="165" fontId="0" fillId="2" borderId="0" xfId="1" applyNumberFormat="1" applyFont="1" applyFill="1"/>
    <xf numFmtId="0" fontId="0" fillId="2" borderId="0" xfId="0" quotePrefix="1" applyFill="1"/>
    <xf numFmtId="0" fontId="0" fillId="3" borderId="0" xfId="0" applyFill="1"/>
    <xf numFmtId="0" fontId="0" fillId="3" borderId="0" xfId="0" applyFill="1" applyAlignment="1">
      <alignment wrapText="1"/>
    </xf>
    <xf numFmtId="9" fontId="0" fillId="3" borderId="0" xfId="2" applyFont="1" applyFill="1" applyBorder="1" applyAlignment="1">
      <alignment wrapText="1"/>
    </xf>
    <xf numFmtId="164" fontId="0" fillId="3" borderId="0" xfId="1" applyNumberFormat="1" applyFont="1" applyFill="1" applyBorder="1" applyAlignment="1">
      <alignment wrapText="1"/>
    </xf>
    <xf numFmtId="165" fontId="0" fillId="3" borderId="0" xfId="1" applyNumberFormat="1" applyFont="1" applyFill="1" applyBorder="1" applyAlignment="1">
      <alignment wrapText="1"/>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3" borderId="9" xfId="0" applyFill="1" applyBorder="1"/>
    <xf numFmtId="0" fontId="2" fillId="2" borderId="9" xfId="0" applyFont="1" applyFill="1" applyBorder="1"/>
    <xf numFmtId="0" fontId="0" fillId="2" borderId="10" xfId="0" applyFill="1" applyBorder="1" applyAlignment="1">
      <alignment horizontal="left" vertical="center" wrapText="1"/>
    </xf>
    <xf numFmtId="0" fontId="0" fillId="2" borderId="11" xfId="0" applyFill="1" applyBorder="1" applyAlignment="1">
      <alignment horizontal="center" vertical="center"/>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center" vertical="center"/>
    </xf>
    <xf numFmtId="0" fontId="0" fillId="2" borderId="15" xfId="0" applyFill="1" applyBorder="1" applyAlignment="1">
      <alignment horizontal="left" vertical="center" wrapText="1"/>
    </xf>
    <xf numFmtId="0" fontId="2" fillId="2" borderId="16" xfId="0" applyFont="1" applyFill="1" applyBorder="1"/>
    <xf numFmtId="0" fontId="2" fillId="2" borderId="17" xfId="0" applyFont="1" applyFill="1" applyBorder="1"/>
    <xf numFmtId="0" fontId="2" fillId="2" borderId="18" xfId="0" applyFont="1" applyFill="1" applyBorder="1"/>
    <xf numFmtId="0" fontId="0" fillId="2" borderId="1" xfId="0" applyFill="1" applyBorder="1"/>
    <xf numFmtId="0" fontId="0" fillId="2" borderId="22" xfId="0" applyFill="1" applyBorder="1" applyAlignment="1">
      <alignment wrapText="1"/>
    </xf>
    <xf numFmtId="0" fontId="0" fillId="2" borderId="24" xfId="0" applyFill="1" applyBorder="1" applyAlignment="1">
      <alignment wrapText="1"/>
    </xf>
    <xf numFmtId="0" fontId="0" fillId="2" borderId="0" xfId="0" applyFill="1" applyAlignment="1">
      <alignment horizontal="center" vertical="center"/>
    </xf>
    <xf numFmtId="0" fontId="0" fillId="2" borderId="21" xfId="0" applyFill="1" applyBorder="1" applyAlignment="1">
      <alignment horizontal="center" vertical="center" wrapText="1"/>
    </xf>
    <xf numFmtId="0" fontId="0" fillId="2" borderId="23" xfId="0" applyFill="1" applyBorder="1" applyAlignment="1">
      <alignment horizontal="center" vertical="center" wrapText="1"/>
    </xf>
    <xf numFmtId="0" fontId="2" fillId="2" borderId="19" xfId="0" applyFont="1" applyFill="1" applyBorder="1" applyAlignment="1">
      <alignment horizontal="center" vertical="center"/>
    </xf>
    <xf numFmtId="0" fontId="2" fillId="2" borderId="20" xfId="0" applyFont="1" applyFill="1" applyBorder="1"/>
    <xf numFmtId="9" fontId="0" fillId="0" borderId="0" xfId="2" applyFont="1"/>
    <xf numFmtId="9" fontId="0" fillId="3" borderId="9" xfId="2" applyFont="1" applyFill="1" applyBorder="1"/>
    <xf numFmtId="0" fontId="2" fillId="2" borderId="1" xfId="0" applyFont="1" applyFill="1" applyBorder="1"/>
    <xf numFmtId="0" fontId="2" fillId="2" borderId="2" xfId="0" applyFont="1" applyFill="1" applyBorder="1"/>
    <xf numFmtId="0" fontId="2" fillId="2" borderId="3" xfId="0" applyFont="1" applyFill="1" applyBorder="1"/>
    <xf numFmtId="0" fontId="2" fillId="2" borderId="25" xfId="0" applyFont="1" applyFill="1" applyBorder="1"/>
    <xf numFmtId="0" fontId="2" fillId="2" borderId="26" xfId="0" applyFont="1" applyFill="1" applyBorder="1"/>
    <xf numFmtId="0" fontId="0" fillId="2" borderId="21" xfId="0" applyFill="1" applyBorder="1" applyAlignment="1">
      <alignment horizontal="left"/>
    </xf>
    <xf numFmtId="9" fontId="0" fillId="2" borderId="0" xfId="2" applyFont="1" applyFill="1"/>
    <xf numFmtId="165" fontId="0" fillId="2" borderId="0" xfId="0" applyNumberFormat="1" applyFill="1"/>
    <xf numFmtId="165" fontId="2" fillId="2" borderId="26" xfId="1" applyNumberFormat="1" applyFont="1" applyFill="1" applyBorder="1"/>
    <xf numFmtId="0" fontId="2" fillId="2" borderId="30" xfId="0" applyFont="1" applyFill="1" applyBorder="1"/>
    <xf numFmtId="0" fontId="2" fillId="2" borderId="31" xfId="0" applyFont="1" applyFill="1" applyBorder="1"/>
    <xf numFmtId="165" fontId="0" fillId="2" borderId="32" xfId="1" applyNumberFormat="1" applyFont="1" applyFill="1" applyBorder="1"/>
    <xf numFmtId="165" fontId="0" fillId="2" borderId="14" xfId="1" applyNumberFormat="1" applyFont="1" applyFill="1" applyBorder="1"/>
    <xf numFmtId="165" fontId="0" fillId="2" borderId="33" xfId="1" applyNumberFormat="1" applyFont="1" applyFill="1" applyBorder="1"/>
    <xf numFmtId="0" fontId="2" fillId="2" borderId="34" xfId="0" applyFont="1" applyFill="1" applyBorder="1"/>
    <xf numFmtId="0" fontId="2" fillId="2" borderId="35" xfId="0" applyFont="1" applyFill="1" applyBorder="1"/>
    <xf numFmtId="0" fontId="0" fillId="3" borderId="22" xfId="0" applyFill="1" applyBorder="1"/>
    <xf numFmtId="165" fontId="0" fillId="2" borderId="0" xfId="1" applyNumberFormat="1" applyFont="1" applyFill="1" applyBorder="1"/>
    <xf numFmtId="165" fontId="0" fillId="2" borderId="8" xfId="0" applyNumberFormat="1" applyFill="1" applyBorder="1"/>
    <xf numFmtId="165" fontId="0" fillId="2" borderId="33" xfId="0" applyNumberFormat="1" applyFill="1" applyBorder="1"/>
    <xf numFmtId="165" fontId="0" fillId="2" borderId="14" xfId="0" applyNumberFormat="1" applyFill="1" applyBorder="1"/>
    <xf numFmtId="0" fontId="2" fillId="2" borderId="11" xfId="0" applyFont="1" applyFill="1" applyBorder="1" applyAlignment="1">
      <alignment horizontal="center"/>
    </xf>
    <xf numFmtId="0" fontId="2" fillId="2" borderId="36" xfId="0" applyFont="1" applyFill="1" applyBorder="1" applyAlignment="1">
      <alignment horizontal="center"/>
    </xf>
    <xf numFmtId="0" fontId="2" fillId="2" borderId="37" xfId="0" applyFont="1" applyFill="1" applyBorder="1"/>
    <xf numFmtId="165" fontId="0" fillId="2" borderId="38" xfId="0" applyNumberFormat="1" applyFill="1" applyBorder="1"/>
    <xf numFmtId="0" fontId="5" fillId="2" borderId="6" xfId="0" applyFont="1" applyFill="1" applyBorder="1"/>
    <xf numFmtId="165" fontId="5" fillId="2" borderId="7" xfId="0" applyNumberFormat="1" applyFont="1" applyFill="1" applyBorder="1"/>
    <xf numFmtId="9" fontId="0" fillId="2" borderId="5" xfId="2" applyFont="1" applyFill="1" applyBorder="1"/>
    <xf numFmtId="9" fontId="5" fillId="2" borderId="8" xfId="2" applyFont="1" applyFill="1" applyBorder="1"/>
    <xf numFmtId="9" fontId="2" fillId="2" borderId="27" xfId="0" applyNumberFormat="1" applyFont="1" applyFill="1" applyBorder="1"/>
    <xf numFmtId="165" fontId="0" fillId="2" borderId="3" xfId="1" applyNumberFormat="1" applyFont="1" applyFill="1" applyBorder="1"/>
    <xf numFmtId="165" fontId="0" fillId="2" borderId="8" xfId="1" applyNumberFormat="1" applyFont="1" applyFill="1" applyBorder="1"/>
    <xf numFmtId="0" fontId="0" fillId="2" borderId="11" xfId="0" applyFill="1" applyBorder="1"/>
    <xf numFmtId="0" fontId="0" fillId="2" borderId="10" xfId="0" applyFill="1" applyBorder="1"/>
    <xf numFmtId="0" fontId="3" fillId="2" borderId="0" xfId="0" applyFont="1" applyFill="1" applyAlignment="1">
      <alignment horizontal="center"/>
    </xf>
    <xf numFmtId="0" fontId="2" fillId="2" borderId="28" xfId="0" applyFont="1" applyFill="1" applyBorder="1" applyAlignment="1">
      <alignment horizontal="center"/>
    </xf>
    <xf numFmtId="0" fontId="2" fillId="2" borderId="11" xfId="0" applyFont="1" applyFill="1" applyBorder="1" applyAlignment="1">
      <alignment horizont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26" xfId="0" applyFont="1" applyFill="1" applyBorder="1" applyAlignment="1">
      <alignment horizontal="center"/>
    </xf>
    <xf numFmtId="0" fontId="2" fillId="2" borderId="1" xfId="0" applyFont="1" applyFill="1" applyBorder="1" applyAlignment="1">
      <alignment horizontal="left"/>
    </xf>
    <xf numFmtId="0" fontId="2" fillId="2" borderId="2" xfId="0" applyFont="1" applyFill="1" applyBorder="1" applyAlignment="1">
      <alignment horizontal="left"/>
    </xf>
    <xf numFmtId="0" fontId="0" fillId="2" borderId="9" xfId="0" applyFill="1" applyBorder="1" applyAlignment="1">
      <alignment horizontal="left" vertical="center" wrapText="1"/>
    </xf>
    <xf numFmtId="0" fontId="0" fillId="2" borderId="22" xfId="0" applyFill="1" applyBorder="1" applyAlignment="1">
      <alignment horizontal="left" vertical="center" wrapText="1"/>
    </xf>
    <xf numFmtId="0" fontId="2" fillId="2" borderId="12" xfId="0" applyFont="1" applyFill="1" applyBorder="1" applyAlignment="1">
      <alignment horizontal="left"/>
    </xf>
    <xf numFmtId="0" fontId="2" fillId="2" borderId="11" xfId="0" applyFont="1" applyFill="1" applyBorder="1" applyAlignment="1">
      <alignment horizontal="left"/>
    </xf>
    <xf numFmtId="0" fontId="2" fillId="2" borderId="2" xfId="0" applyFont="1" applyFill="1" applyBorder="1" applyAlignment="1">
      <alignment horizontal="left" wrapText="1"/>
    </xf>
  </cellXfs>
  <cellStyles count="3">
    <cellStyle name="Comma" xfId="1" builtinId="3"/>
    <cellStyle name="Normal" xfId="0" builtinId="0"/>
    <cellStyle name="Percent" xfId="2" builtinId="5"/>
  </cellStyles>
  <dxfs count="5">
    <dxf>
      <fill>
        <patternFill patternType="lightDown"/>
      </fill>
    </dxf>
    <dxf>
      <fill>
        <patternFill patternType="lightDown"/>
      </fill>
    </dxf>
    <dxf>
      <font>
        <strike val="0"/>
        <u val="none"/>
      </font>
      <fill>
        <patternFill patternType="lightDown"/>
      </fill>
    </dxf>
    <dxf>
      <fill>
        <patternFill patternType="lightDown">
          <bgColor theme="6" tint="0.59996337778862885"/>
        </patternFill>
      </fill>
    </dxf>
    <dxf>
      <fill>
        <patternFill patternType="lightDown">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nb-NO"/>
              <a:t>Kostnadsfordeling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nb-N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AC6-4116-935B-B1A53EC015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AC6-4116-935B-B1A53EC015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AC6-4116-935B-B1A53EC0156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nb-N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(Input!$B$24:$B$25,Input!$B$27)</c:f>
              <c:strCache>
                <c:ptCount val="3"/>
                <c:pt idx="0">
                  <c:v>Studentbetaling</c:v>
                </c:pt>
                <c:pt idx="1">
                  <c:v>Resultatbevilgning RFM</c:v>
                </c:pt>
                <c:pt idx="2">
                  <c:v>Udekte kostnader</c:v>
                </c:pt>
              </c:strCache>
            </c:strRef>
          </c:cat>
          <c:val>
            <c:numRef>
              <c:f>(Input!$D$24:$D$25,Input!$D$27)</c:f>
              <c:numCache>
                <c:formatCode>0%</c:formatCode>
                <c:ptCount val="3"/>
                <c:pt idx="0">
                  <c:v>0.25</c:v>
                </c:pt>
                <c:pt idx="1">
                  <c:v>0.22384378211716341</c:v>
                </c:pt>
                <c:pt idx="2">
                  <c:v>0.52615621788283662</c:v>
                </c:pt>
              </c:numCache>
            </c:numRef>
          </c:val>
          <c:extLst>
            <c:ext xmlns:c16="http://schemas.microsoft.com/office/drawing/2014/chart" uri="{C3380CC4-5D6E-409C-BE32-E72D297353CC}">
              <c16:uniqueId val="{00000000-B99C-4734-91EB-291D8D75FFD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nb-NO"/>
              <a:t>Kostnader, inntekter og udekte kostnader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nb-NO"/>
        </a:p>
      </c:txPr>
    </c:title>
    <c:autoTitleDeleted val="0"/>
    <c:plotArea>
      <c:layout/>
      <c:barChart>
        <c:barDir val="col"/>
        <c:grouping val="stacked"/>
        <c:varyColors val="0"/>
        <c:ser>
          <c:idx val="0"/>
          <c:order val="0"/>
          <c:tx>
            <c:strRef>
              <c:f>Beregninger!$J$2</c:f>
              <c:strCache>
                <c:ptCount val="1"/>
                <c:pt idx="0">
                  <c:v>Kostnader</c:v>
                </c:pt>
              </c:strCache>
            </c:strRef>
          </c:tx>
          <c:spPr>
            <a:solidFill>
              <a:schemeClr val="accent1"/>
            </a:solidFill>
            <a:ln>
              <a:noFill/>
            </a:ln>
            <a:effectLst/>
          </c:spPr>
          <c:invertIfNegative val="0"/>
          <c:cat>
            <c:strRef>
              <c:f>Beregninger!$I$3:$I$5</c:f>
              <c:strCache>
                <c:ptCount val="3"/>
                <c:pt idx="0">
                  <c:v>Kostnader</c:v>
                </c:pt>
                <c:pt idx="1">
                  <c:v>Inntekter</c:v>
                </c:pt>
                <c:pt idx="2">
                  <c:v>Udekte kostnader</c:v>
                </c:pt>
              </c:strCache>
            </c:strRef>
          </c:cat>
          <c:val>
            <c:numRef>
              <c:f>Beregninger!$J$3:$J$5</c:f>
              <c:numCache>
                <c:formatCode>General</c:formatCode>
                <c:ptCount val="3"/>
                <c:pt idx="0">
                  <c:v>5351500</c:v>
                </c:pt>
              </c:numCache>
            </c:numRef>
          </c:val>
          <c:extLst>
            <c:ext xmlns:c16="http://schemas.microsoft.com/office/drawing/2014/chart" uri="{C3380CC4-5D6E-409C-BE32-E72D297353CC}">
              <c16:uniqueId val="{00000000-99D3-47F3-919B-9CCFB10C139C}"/>
            </c:ext>
          </c:extLst>
        </c:ser>
        <c:ser>
          <c:idx val="1"/>
          <c:order val="1"/>
          <c:tx>
            <c:strRef>
              <c:f>Beregninger!$K$2</c:f>
              <c:strCache>
                <c:ptCount val="1"/>
                <c:pt idx="0">
                  <c:v>Studentbetaling</c:v>
                </c:pt>
              </c:strCache>
            </c:strRef>
          </c:tx>
          <c:spPr>
            <a:solidFill>
              <a:schemeClr val="accent2"/>
            </a:solidFill>
            <a:ln>
              <a:noFill/>
            </a:ln>
            <a:effectLst/>
          </c:spPr>
          <c:invertIfNegative val="0"/>
          <c:cat>
            <c:strRef>
              <c:f>Beregninger!$I$3:$I$5</c:f>
              <c:strCache>
                <c:ptCount val="3"/>
                <c:pt idx="0">
                  <c:v>Kostnader</c:v>
                </c:pt>
                <c:pt idx="1">
                  <c:v>Inntekter</c:v>
                </c:pt>
                <c:pt idx="2">
                  <c:v>Udekte kostnader</c:v>
                </c:pt>
              </c:strCache>
            </c:strRef>
          </c:cat>
          <c:val>
            <c:numRef>
              <c:f>Beregninger!$K$3:$K$5</c:f>
              <c:numCache>
                <c:formatCode>General</c:formatCode>
                <c:ptCount val="3"/>
                <c:pt idx="1">
                  <c:v>1337875</c:v>
                </c:pt>
              </c:numCache>
            </c:numRef>
          </c:val>
          <c:extLst>
            <c:ext xmlns:c16="http://schemas.microsoft.com/office/drawing/2014/chart" uri="{C3380CC4-5D6E-409C-BE32-E72D297353CC}">
              <c16:uniqueId val="{00000001-99D3-47F3-919B-9CCFB10C139C}"/>
            </c:ext>
          </c:extLst>
        </c:ser>
        <c:ser>
          <c:idx val="2"/>
          <c:order val="2"/>
          <c:tx>
            <c:strRef>
              <c:f>Beregninger!$L$2</c:f>
              <c:strCache>
                <c:ptCount val="1"/>
                <c:pt idx="0">
                  <c:v>Resultatbev RFM</c:v>
                </c:pt>
              </c:strCache>
            </c:strRef>
          </c:tx>
          <c:spPr>
            <a:solidFill>
              <a:schemeClr val="accent3"/>
            </a:solidFill>
            <a:ln>
              <a:noFill/>
            </a:ln>
            <a:effectLst/>
          </c:spPr>
          <c:invertIfNegative val="0"/>
          <c:cat>
            <c:strRef>
              <c:f>Beregninger!$I$3:$I$5</c:f>
              <c:strCache>
                <c:ptCount val="3"/>
                <c:pt idx="0">
                  <c:v>Kostnader</c:v>
                </c:pt>
                <c:pt idx="1">
                  <c:v>Inntekter</c:v>
                </c:pt>
                <c:pt idx="2">
                  <c:v>Udekte kostnader</c:v>
                </c:pt>
              </c:strCache>
            </c:strRef>
          </c:cat>
          <c:val>
            <c:numRef>
              <c:f>Beregninger!$L$3:$L$5</c:f>
              <c:numCache>
                <c:formatCode>General</c:formatCode>
                <c:ptCount val="3"/>
                <c:pt idx="1">
                  <c:v>1197900</c:v>
                </c:pt>
              </c:numCache>
            </c:numRef>
          </c:val>
          <c:extLst>
            <c:ext xmlns:c16="http://schemas.microsoft.com/office/drawing/2014/chart" uri="{C3380CC4-5D6E-409C-BE32-E72D297353CC}">
              <c16:uniqueId val="{00000002-99D3-47F3-919B-9CCFB10C139C}"/>
            </c:ext>
          </c:extLst>
        </c:ser>
        <c:ser>
          <c:idx val="3"/>
          <c:order val="3"/>
          <c:tx>
            <c:strRef>
              <c:f>Beregninger!$M$2</c:f>
              <c:strCache>
                <c:ptCount val="1"/>
                <c:pt idx="0">
                  <c:v>Udekte kostnader</c:v>
                </c:pt>
              </c:strCache>
            </c:strRef>
          </c:tx>
          <c:spPr>
            <a:solidFill>
              <a:schemeClr val="accent4"/>
            </a:solidFill>
            <a:ln>
              <a:noFill/>
            </a:ln>
            <a:effectLst/>
          </c:spPr>
          <c:invertIfNegative val="0"/>
          <c:cat>
            <c:strRef>
              <c:f>Beregninger!$I$3:$I$5</c:f>
              <c:strCache>
                <c:ptCount val="3"/>
                <c:pt idx="0">
                  <c:v>Kostnader</c:v>
                </c:pt>
                <c:pt idx="1">
                  <c:v>Inntekter</c:v>
                </c:pt>
                <c:pt idx="2">
                  <c:v>Udekte kostnader</c:v>
                </c:pt>
              </c:strCache>
            </c:strRef>
          </c:cat>
          <c:val>
            <c:numRef>
              <c:f>Beregninger!$M$3:$M$5</c:f>
              <c:numCache>
                <c:formatCode>General</c:formatCode>
                <c:ptCount val="3"/>
                <c:pt idx="2">
                  <c:v>2815725</c:v>
                </c:pt>
              </c:numCache>
            </c:numRef>
          </c:val>
          <c:extLst>
            <c:ext xmlns:c16="http://schemas.microsoft.com/office/drawing/2014/chart" uri="{C3380CC4-5D6E-409C-BE32-E72D297353CC}">
              <c16:uniqueId val="{00000003-99D3-47F3-919B-9CCFB10C139C}"/>
            </c:ext>
          </c:extLst>
        </c:ser>
        <c:dLbls>
          <c:showLegendKey val="0"/>
          <c:showVal val="0"/>
          <c:showCatName val="0"/>
          <c:showSerName val="0"/>
          <c:showPercent val="0"/>
          <c:showBubbleSize val="0"/>
        </c:dLbls>
        <c:gapWidth val="150"/>
        <c:overlap val="100"/>
        <c:axId val="1339423256"/>
        <c:axId val="1339436048"/>
      </c:barChart>
      <c:catAx>
        <c:axId val="1339423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crossAx val="1339436048"/>
        <c:crosses val="autoZero"/>
        <c:auto val="1"/>
        <c:lblAlgn val="ctr"/>
        <c:lblOffset val="100"/>
        <c:noMultiLvlLbl val="0"/>
      </c:catAx>
      <c:valAx>
        <c:axId val="1339436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crossAx val="1339423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0"/>
          <c:order val="0"/>
          <c:tx>
            <c:strRef>
              <c:f>Beregninger!$J$2</c:f>
              <c:strCache>
                <c:ptCount val="1"/>
                <c:pt idx="0">
                  <c:v>Kostnader</c:v>
                </c:pt>
              </c:strCache>
            </c:strRef>
          </c:tx>
          <c:spPr>
            <a:solidFill>
              <a:schemeClr val="accent1"/>
            </a:solidFill>
            <a:ln>
              <a:noFill/>
            </a:ln>
            <a:effectLst/>
          </c:spPr>
          <c:invertIfNegative val="0"/>
          <c:cat>
            <c:strRef>
              <c:f>Beregninger!$I$3:$I$5</c:f>
              <c:strCache>
                <c:ptCount val="3"/>
                <c:pt idx="0">
                  <c:v>Kostnader</c:v>
                </c:pt>
                <c:pt idx="1">
                  <c:v>Inntekter</c:v>
                </c:pt>
                <c:pt idx="2">
                  <c:v>Udekte kostnader</c:v>
                </c:pt>
              </c:strCache>
            </c:strRef>
          </c:cat>
          <c:val>
            <c:numRef>
              <c:f>Beregninger!$J$3:$J$5</c:f>
              <c:numCache>
                <c:formatCode>General</c:formatCode>
                <c:ptCount val="3"/>
                <c:pt idx="0">
                  <c:v>5351500</c:v>
                </c:pt>
              </c:numCache>
            </c:numRef>
          </c:val>
          <c:extLst>
            <c:ext xmlns:c16="http://schemas.microsoft.com/office/drawing/2014/chart" uri="{C3380CC4-5D6E-409C-BE32-E72D297353CC}">
              <c16:uniqueId val="{00000000-960E-4D6F-882F-950148C156CB}"/>
            </c:ext>
          </c:extLst>
        </c:ser>
        <c:ser>
          <c:idx val="1"/>
          <c:order val="1"/>
          <c:tx>
            <c:strRef>
              <c:f>Beregninger!$K$2</c:f>
              <c:strCache>
                <c:ptCount val="1"/>
                <c:pt idx="0">
                  <c:v>Studentbetaling</c:v>
                </c:pt>
              </c:strCache>
            </c:strRef>
          </c:tx>
          <c:spPr>
            <a:solidFill>
              <a:schemeClr val="accent2"/>
            </a:solidFill>
            <a:ln>
              <a:noFill/>
            </a:ln>
            <a:effectLst/>
          </c:spPr>
          <c:invertIfNegative val="0"/>
          <c:cat>
            <c:strRef>
              <c:f>Beregninger!$I$3:$I$5</c:f>
              <c:strCache>
                <c:ptCount val="3"/>
                <c:pt idx="0">
                  <c:v>Kostnader</c:v>
                </c:pt>
                <c:pt idx="1">
                  <c:v>Inntekter</c:v>
                </c:pt>
                <c:pt idx="2">
                  <c:v>Udekte kostnader</c:v>
                </c:pt>
              </c:strCache>
            </c:strRef>
          </c:cat>
          <c:val>
            <c:numRef>
              <c:f>Beregninger!$K$3:$K$5</c:f>
              <c:numCache>
                <c:formatCode>General</c:formatCode>
                <c:ptCount val="3"/>
                <c:pt idx="1">
                  <c:v>1337875</c:v>
                </c:pt>
              </c:numCache>
            </c:numRef>
          </c:val>
          <c:extLst>
            <c:ext xmlns:c16="http://schemas.microsoft.com/office/drawing/2014/chart" uri="{C3380CC4-5D6E-409C-BE32-E72D297353CC}">
              <c16:uniqueId val="{00000001-960E-4D6F-882F-950148C156CB}"/>
            </c:ext>
          </c:extLst>
        </c:ser>
        <c:ser>
          <c:idx val="2"/>
          <c:order val="2"/>
          <c:tx>
            <c:strRef>
              <c:f>Beregninger!$L$2</c:f>
              <c:strCache>
                <c:ptCount val="1"/>
                <c:pt idx="0">
                  <c:v>Resultatbev RFM</c:v>
                </c:pt>
              </c:strCache>
            </c:strRef>
          </c:tx>
          <c:spPr>
            <a:solidFill>
              <a:schemeClr val="accent3"/>
            </a:solidFill>
            <a:ln>
              <a:noFill/>
            </a:ln>
            <a:effectLst/>
          </c:spPr>
          <c:invertIfNegative val="0"/>
          <c:cat>
            <c:strRef>
              <c:f>Beregninger!$I$3:$I$5</c:f>
              <c:strCache>
                <c:ptCount val="3"/>
                <c:pt idx="0">
                  <c:v>Kostnader</c:v>
                </c:pt>
                <c:pt idx="1">
                  <c:v>Inntekter</c:v>
                </c:pt>
                <c:pt idx="2">
                  <c:v>Udekte kostnader</c:v>
                </c:pt>
              </c:strCache>
            </c:strRef>
          </c:cat>
          <c:val>
            <c:numRef>
              <c:f>Beregninger!$L$3:$L$5</c:f>
              <c:numCache>
                <c:formatCode>General</c:formatCode>
                <c:ptCount val="3"/>
                <c:pt idx="1">
                  <c:v>1197900</c:v>
                </c:pt>
              </c:numCache>
            </c:numRef>
          </c:val>
          <c:extLst>
            <c:ext xmlns:c16="http://schemas.microsoft.com/office/drawing/2014/chart" uri="{C3380CC4-5D6E-409C-BE32-E72D297353CC}">
              <c16:uniqueId val="{00000002-960E-4D6F-882F-950148C156CB}"/>
            </c:ext>
          </c:extLst>
        </c:ser>
        <c:ser>
          <c:idx val="3"/>
          <c:order val="3"/>
          <c:tx>
            <c:strRef>
              <c:f>Beregninger!$M$2</c:f>
              <c:strCache>
                <c:ptCount val="1"/>
                <c:pt idx="0">
                  <c:v>Udekte kostnader</c:v>
                </c:pt>
              </c:strCache>
            </c:strRef>
          </c:tx>
          <c:spPr>
            <a:solidFill>
              <a:schemeClr val="accent4"/>
            </a:solidFill>
            <a:ln>
              <a:noFill/>
            </a:ln>
            <a:effectLst/>
          </c:spPr>
          <c:invertIfNegative val="0"/>
          <c:cat>
            <c:strRef>
              <c:f>Beregninger!$I$3:$I$5</c:f>
              <c:strCache>
                <c:ptCount val="3"/>
                <c:pt idx="0">
                  <c:v>Kostnader</c:v>
                </c:pt>
                <c:pt idx="1">
                  <c:v>Inntekter</c:v>
                </c:pt>
                <c:pt idx="2">
                  <c:v>Udekte kostnader</c:v>
                </c:pt>
              </c:strCache>
            </c:strRef>
          </c:cat>
          <c:val>
            <c:numRef>
              <c:f>Beregninger!$M$3:$M$5</c:f>
              <c:numCache>
                <c:formatCode>General</c:formatCode>
                <c:ptCount val="3"/>
                <c:pt idx="2">
                  <c:v>2815725</c:v>
                </c:pt>
              </c:numCache>
            </c:numRef>
          </c:val>
          <c:extLst>
            <c:ext xmlns:c16="http://schemas.microsoft.com/office/drawing/2014/chart" uri="{C3380CC4-5D6E-409C-BE32-E72D297353CC}">
              <c16:uniqueId val="{00000003-960E-4D6F-882F-950148C156CB}"/>
            </c:ext>
          </c:extLst>
        </c:ser>
        <c:dLbls>
          <c:showLegendKey val="0"/>
          <c:showVal val="0"/>
          <c:showCatName val="0"/>
          <c:showSerName val="0"/>
          <c:showPercent val="0"/>
          <c:showBubbleSize val="0"/>
        </c:dLbls>
        <c:gapWidth val="150"/>
        <c:overlap val="100"/>
        <c:axId val="1339423256"/>
        <c:axId val="1339436048"/>
      </c:barChart>
      <c:catAx>
        <c:axId val="1339423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339436048"/>
        <c:crosses val="autoZero"/>
        <c:auto val="1"/>
        <c:lblAlgn val="ctr"/>
        <c:lblOffset val="100"/>
        <c:noMultiLvlLbl val="0"/>
      </c:catAx>
      <c:valAx>
        <c:axId val="1339436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339423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75</xdr:row>
      <xdr:rowOff>171450</xdr:rowOff>
    </xdr:from>
    <xdr:to>
      <xdr:col>1</xdr:col>
      <xdr:colOff>85642</xdr:colOff>
      <xdr:row>81</xdr:row>
      <xdr:rowOff>85593</xdr:rowOff>
    </xdr:to>
    <xdr:pic>
      <xdr:nvPicPr>
        <xdr:cNvPr id="2" name="Bilde 1">
          <a:extLst>
            <a:ext uri="{FF2B5EF4-FFF2-40B4-BE49-F238E27FC236}">
              <a16:creationId xmlns:a16="http://schemas.microsoft.com/office/drawing/2014/main" id="{B178150F-26CB-416C-8D19-E0BE58FDC514}"/>
            </a:ext>
          </a:extLst>
        </xdr:cNvPr>
        <xdr:cNvPicPr>
          <a:picLocks noChangeAspect="1"/>
        </xdr:cNvPicPr>
      </xdr:nvPicPr>
      <xdr:blipFill>
        <a:blip xmlns:r="http://schemas.openxmlformats.org/officeDocument/2006/relationships" r:embed="rId1"/>
        <a:stretch>
          <a:fillRect/>
        </a:stretch>
      </xdr:blipFill>
      <xdr:spPr>
        <a:xfrm>
          <a:off x="28575" y="13268325"/>
          <a:ext cx="666667" cy="1057143"/>
        </a:xfrm>
        <a:prstGeom prst="rect">
          <a:avLst/>
        </a:prstGeom>
      </xdr:spPr>
    </xdr:pic>
    <xdr:clientData/>
  </xdr:twoCellAnchor>
  <xdr:twoCellAnchor editAs="oneCell">
    <xdr:from>
      <xdr:col>0</xdr:col>
      <xdr:colOff>0</xdr:colOff>
      <xdr:row>83</xdr:row>
      <xdr:rowOff>0</xdr:rowOff>
    </xdr:from>
    <xdr:to>
      <xdr:col>1</xdr:col>
      <xdr:colOff>409448</xdr:colOff>
      <xdr:row>88</xdr:row>
      <xdr:rowOff>104643</xdr:rowOff>
    </xdr:to>
    <xdr:pic>
      <xdr:nvPicPr>
        <xdr:cNvPr id="3" name="Bilde 2">
          <a:extLst>
            <a:ext uri="{FF2B5EF4-FFF2-40B4-BE49-F238E27FC236}">
              <a16:creationId xmlns:a16="http://schemas.microsoft.com/office/drawing/2014/main" id="{EE80A54E-CC90-49F1-A042-A70B43E9D3D3}"/>
            </a:ext>
          </a:extLst>
        </xdr:cNvPr>
        <xdr:cNvPicPr>
          <a:picLocks noChangeAspect="1"/>
        </xdr:cNvPicPr>
      </xdr:nvPicPr>
      <xdr:blipFill>
        <a:blip xmlns:r="http://schemas.openxmlformats.org/officeDocument/2006/relationships" r:embed="rId2"/>
        <a:stretch>
          <a:fillRect/>
        </a:stretch>
      </xdr:blipFill>
      <xdr:spPr>
        <a:xfrm>
          <a:off x="0" y="14620875"/>
          <a:ext cx="1019048" cy="1057143"/>
        </a:xfrm>
        <a:prstGeom prst="rect">
          <a:avLst/>
        </a:prstGeom>
      </xdr:spPr>
    </xdr:pic>
    <xdr:clientData/>
  </xdr:twoCellAnchor>
  <xdr:twoCellAnchor editAs="oneCell">
    <xdr:from>
      <xdr:col>0</xdr:col>
      <xdr:colOff>28575</xdr:colOff>
      <xdr:row>90</xdr:row>
      <xdr:rowOff>104775</xdr:rowOff>
    </xdr:from>
    <xdr:to>
      <xdr:col>2</xdr:col>
      <xdr:colOff>133100</xdr:colOff>
      <xdr:row>97</xdr:row>
      <xdr:rowOff>95085</xdr:rowOff>
    </xdr:to>
    <xdr:pic>
      <xdr:nvPicPr>
        <xdr:cNvPr id="4" name="Bilde 4">
          <a:extLst>
            <a:ext uri="{FF2B5EF4-FFF2-40B4-BE49-F238E27FC236}">
              <a16:creationId xmlns:a16="http://schemas.microsoft.com/office/drawing/2014/main" id="{D4F6E8D1-1583-4B29-80B1-B726AE8B72B0}"/>
            </a:ext>
          </a:extLst>
        </xdr:cNvPr>
        <xdr:cNvPicPr>
          <a:picLocks noChangeAspect="1"/>
        </xdr:cNvPicPr>
      </xdr:nvPicPr>
      <xdr:blipFill>
        <a:blip xmlns:r="http://schemas.openxmlformats.org/officeDocument/2006/relationships" r:embed="rId3"/>
        <a:stretch>
          <a:fillRect/>
        </a:stretch>
      </xdr:blipFill>
      <xdr:spPr>
        <a:xfrm>
          <a:off x="28575" y="16059150"/>
          <a:ext cx="2000000" cy="1323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19</xdr:row>
      <xdr:rowOff>104775</xdr:rowOff>
    </xdr:from>
    <xdr:to>
      <xdr:col>8</xdr:col>
      <xdr:colOff>838200</xdr:colOff>
      <xdr:row>35</xdr:row>
      <xdr:rowOff>61912</xdr:rowOff>
    </xdr:to>
    <xdr:graphicFrame macro="">
      <xdr:nvGraphicFramePr>
        <xdr:cNvPr id="3" name="Chart 2">
          <a:extLst>
            <a:ext uri="{FF2B5EF4-FFF2-40B4-BE49-F238E27FC236}">
              <a16:creationId xmlns:a16="http://schemas.microsoft.com/office/drawing/2014/main" id="{C50CF2CD-0605-4DB0-9EA5-A6990ADA52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942975</xdr:colOff>
      <xdr:row>19</xdr:row>
      <xdr:rowOff>114301</xdr:rowOff>
    </xdr:from>
    <xdr:to>
      <xdr:col>11</xdr:col>
      <xdr:colOff>657225</xdr:colOff>
      <xdr:row>35</xdr:row>
      <xdr:rowOff>104776</xdr:rowOff>
    </xdr:to>
    <xdr:graphicFrame macro="">
      <xdr:nvGraphicFramePr>
        <xdr:cNvPr id="6" name="Chart 5">
          <a:extLst>
            <a:ext uri="{FF2B5EF4-FFF2-40B4-BE49-F238E27FC236}">
              <a16:creationId xmlns:a16="http://schemas.microsoft.com/office/drawing/2014/main" id="{44E5E705-A4C7-4A01-9E48-52212EFCD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47625</xdr:colOff>
      <xdr:row>12</xdr:row>
      <xdr:rowOff>66675</xdr:rowOff>
    </xdr:from>
    <xdr:to>
      <xdr:col>14</xdr:col>
      <xdr:colOff>200025</xdr:colOff>
      <xdr:row>34</xdr:row>
      <xdr:rowOff>138112</xdr:rowOff>
    </xdr:to>
    <xdr:graphicFrame macro="">
      <xdr:nvGraphicFramePr>
        <xdr:cNvPr id="2" name="Chart 1">
          <a:extLst>
            <a:ext uri="{FF2B5EF4-FFF2-40B4-BE49-F238E27FC236}">
              <a16:creationId xmlns:a16="http://schemas.microsoft.com/office/drawing/2014/main" id="{AE63C302-590C-42C5-B216-75675108C9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41E1E-98E1-47FF-B5B8-68FAF5F37783}">
  <dimension ref="A2:G90"/>
  <sheetViews>
    <sheetView workbookViewId="0">
      <selection activeCell="I48" sqref="I48"/>
    </sheetView>
  </sheetViews>
  <sheetFormatPr defaultColWidth="11.42578125" defaultRowHeight="15" x14ac:dyDescent="0.25"/>
  <cols>
    <col min="1" max="1" width="11.42578125" style="1"/>
    <col min="2" max="2" width="23.85546875" style="1" bestFit="1" customWidth="1"/>
    <col min="3" max="3" width="16.140625" style="1" customWidth="1"/>
    <col min="4" max="4" width="17.140625" style="1" customWidth="1"/>
    <col min="5" max="16384" width="11.42578125" style="1"/>
  </cols>
  <sheetData>
    <row r="2" spans="1:7" x14ac:dyDescent="0.25">
      <c r="A2" s="1" t="s">
        <v>0</v>
      </c>
      <c r="B2" s="1" t="s">
        <v>1</v>
      </c>
    </row>
    <row r="3" spans="1:7" x14ac:dyDescent="0.25">
      <c r="A3" s="1" t="s">
        <v>2</v>
      </c>
      <c r="B3" s="1" t="s">
        <v>3</v>
      </c>
    </row>
    <row r="4" spans="1:7" x14ac:dyDescent="0.25">
      <c r="A4" s="1" t="s">
        <v>4</v>
      </c>
      <c r="B4" s="1" t="s">
        <v>5</v>
      </c>
    </row>
    <row r="5" spans="1:7" x14ac:dyDescent="0.25">
      <c r="A5" s="1" t="s">
        <v>6</v>
      </c>
      <c r="B5" s="1" t="s">
        <v>7</v>
      </c>
    </row>
    <row r="7" spans="1:7" ht="18.75" x14ac:dyDescent="0.3">
      <c r="A7" s="76" t="s">
        <v>8</v>
      </c>
      <c r="B7" s="76"/>
      <c r="C7" s="76"/>
      <c r="D7" s="76"/>
      <c r="E7" s="76"/>
      <c r="F7" s="76"/>
      <c r="G7" s="76"/>
    </row>
    <row r="8" spans="1:7" x14ac:dyDescent="0.25">
      <c r="B8" s="9" t="s">
        <v>9</v>
      </c>
      <c r="C8" s="1" t="s">
        <v>10</v>
      </c>
    </row>
    <row r="10" spans="1:7" x14ac:dyDescent="0.25">
      <c r="B10" s="4" t="s">
        <v>11</v>
      </c>
      <c r="C10" s="1" t="s">
        <v>12</v>
      </c>
    </row>
    <row r="13" spans="1:7" x14ac:dyDescent="0.25">
      <c r="B13" s="2" t="s">
        <v>13</v>
      </c>
    </row>
    <row r="14" spans="1:7" x14ac:dyDescent="0.25">
      <c r="A14" s="1" t="s">
        <v>14</v>
      </c>
      <c r="B14" s="10" t="s">
        <v>15</v>
      </c>
      <c r="C14" s="1" t="s">
        <v>16</v>
      </c>
    </row>
    <row r="15" spans="1:7" x14ac:dyDescent="0.25">
      <c r="B15" s="2"/>
    </row>
    <row r="16" spans="1:7" x14ac:dyDescent="0.25">
      <c r="B16" s="2" t="s">
        <v>17</v>
      </c>
    </row>
    <row r="17" spans="1:3" x14ac:dyDescent="0.25">
      <c r="A17" s="1" t="s">
        <v>18</v>
      </c>
      <c r="B17" s="10" t="s">
        <v>19</v>
      </c>
      <c r="C17" s="1" t="s">
        <v>20</v>
      </c>
    </row>
    <row r="19" spans="1:3" x14ac:dyDescent="0.25">
      <c r="B19" s="1" t="s">
        <v>131</v>
      </c>
    </row>
    <row r="20" spans="1:3" x14ac:dyDescent="0.25">
      <c r="A20" s="1" t="s">
        <v>21</v>
      </c>
      <c r="B20" s="10" t="s">
        <v>22</v>
      </c>
      <c r="C20" s="1" t="s">
        <v>135</v>
      </c>
    </row>
    <row r="21" spans="1:3" x14ac:dyDescent="0.25">
      <c r="B21" s="5"/>
    </row>
    <row r="22" spans="1:3" x14ac:dyDescent="0.25">
      <c r="B22" s="2" t="s">
        <v>23</v>
      </c>
    </row>
    <row r="23" spans="1:3" x14ac:dyDescent="0.25">
      <c r="A23" s="1" t="s">
        <v>24</v>
      </c>
      <c r="B23" s="11">
        <v>0.05</v>
      </c>
      <c r="C23" s="1" t="s">
        <v>25</v>
      </c>
    </row>
    <row r="25" spans="1:3" ht="15" customHeight="1" x14ac:dyDescent="0.25">
      <c r="B25" s="2" t="s">
        <v>26</v>
      </c>
    </row>
    <row r="26" spans="1:3" x14ac:dyDescent="0.25">
      <c r="A26" s="1" t="s">
        <v>27</v>
      </c>
      <c r="B26" s="10" t="s">
        <v>28</v>
      </c>
      <c r="C26" s="1" t="s">
        <v>29</v>
      </c>
    </row>
    <row r="28" spans="1:3" x14ac:dyDescent="0.25">
      <c r="B28" s="2" t="s">
        <v>30</v>
      </c>
    </row>
    <row r="29" spans="1:3" x14ac:dyDescent="0.25">
      <c r="A29" s="1" t="s">
        <v>31</v>
      </c>
      <c r="B29" s="11">
        <v>0.8</v>
      </c>
      <c r="C29" s="1" t="s">
        <v>136</v>
      </c>
    </row>
    <row r="31" spans="1:3" x14ac:dyDescent="0.25">
      <c r="B31" s="2" t="s">
        <v>32</v>
      </c>
    </row>
    <row r="32" spans="1:3" x14ac:dyDescent="0.25">
      <c r="A32" s="1" t="s">
        <v>33</v>
      </c>
      <c r="B32" s="12">
        <v>7.5</v>
      </c>
      <c r="C32" s="1" t="s">
        <v>34</v>
      </c>
    </row>
    <row r="34" spans="1:3" x14ac:dyDescent="0.25">
      <c r="B34" s="2" t="s">
        <v>35</v>
      </c>
    </row>
    <row r="35" spans="1:3" x14ac:dyDescent="0.25">
      <c r="A35" s="1" t="s">
        <v>36</v>
      </c>
      <c r="B35" s="10" t="s">
        <v>22</v>
      </c>
      <c r="C35" s="1" t="s">
        <v>37</v>
      </c>
    </row>
    <row r="37" spans="1:3" x14ac:dyDescent="0.25">
      <c r="B37" s="2" t="s">
        <v>38</v>
      </c>
    </row>
    <row r="38" spans="1:3" x14ac:dyDescent="0.25">
      <c r="A38" s="1" t="s">
        <v>39</v>
      </c>
      <c r="B38" s="13">
        <v>120</v>
      </c>
      <c r="C38" s="1" t="s">
        <v>40</v>
      </c>
    </row>
    <row r="40" spans="1:3" x14ac:dyDescent="0.25">
      <c r="B40" s="2" t="s">
        <v>41</v>
      </c>
    </row>
    <row r="41" spans="1:3" x14ac:dyDescent="0.25">
      <c r="A41" s="1" t="s">
        <v>42</v>
      </c>
      <c r="B41" s="13">
        <v>20</v>
      </c>
      <c r="C41" s="1" t="s">
        <v>43</v>
      </c>
    </row>
    <row r="43" spans="1:3" x14ac:dyDescent="0.25">
      <c r="B43" s="2" t="s">
        <v>44</v>
      </c>
    </row>
    <row r="44" spans="1:3" x14ac:dyDescent="0.25">
      <c r="A44" s="1" t="s">
        <v>45</v>
      </c>
      <c r="B44" s="11">
        <v>1</v>
      </c>
      <c r="C44" s="1" t="s">
        <v>46</v>
      </c>
    </row>
    <row r="46" spans="1:3" x14ac:dyDescent="0.25">
      <c r="B46" s="2" t="s">
        <v>47</v>
      </c>
    </row>
    <row r="47" spans="1:3" x14ac:dyDescent="0.25">
      <c r="A47" s="1" t="s">
        <v>48</v>
      </c>
      <c r="B47" s="9" t="s">
        <v>49</v>
      </c>
      <c r="C47" s="1" t="s">
        <v>50</v>
      </c>
    </row>
    <row r="50" spans="1:7" ht="18.75" x14ac:dyDescent="0.3">
      <c r="A50" s="76" t="s">
        <v>51</v>
      </c>
      <c r="B50" s="76"/>
      <c r="C50" s="76"/>
      <c r="D50" s="76"/>
      <c r="E50" s="76"/>
      <c r="F50" s="76"/>
      <c r="G50" s="76"/>
    </row>
    <row r="51" spans="1:7" x14ac:dyDescent="0.25">
      <c r="A51" s="1" t="s">
        <v>52</v>
      </c>
    </row>
    <row r="52" spans="1:7" x14ac:dyDescent="0.25">
      <c r="A52" s="1" t="s">
        <v>53</v>
      </c>
    </row>
    <row r="53" spans="1:7" x14ac:dyDescent="0.25">
      <c r="A53" s="1" t="s">
        <v>54</v>
      </c>
    </row>
    <row r="54" spans="1:7" x14ac:dyDescent="0.25">
      <c r="A54" s="1" t="s">
        <v>55</v>
      </c>
    </row>
    <row r="55" spans="1:7" x14ac:dyDescent="0.25">
      <c r="A55" s="1" t="s">
        <v>56</v>
      </c>
    </row>
    <row r="56" spans="1:7" x14ac:dyDescent="0.25">
      <c r="A56" s="1" t="s">
        <v>57</v>
      </c>
    </row>
    <row r="57" spans="1:7" x14ac:dyDescent="0.25">
      <c r="A57" s="1" t="s">
        <v>58</v>
      </c>
    </row>
    <row r="58" spans="1:7" x14ac:dyDescent="0.25">
      <c r="A58" s="6" t="s">
        <v>59</v>
      </c>
    </row>
    <row r="60" spans="1:7" x14ac:dyDescent="0.25">
      <c r="A60" s="1" t="s">
        <v>60</v>
      </c>
    </row>
    <row r="61" spans="1:7" x14ac:dyDescent="0.25">
      <c r="A61" s="2" t="s">
        <v>134</v>
      </c>
      <c r="B61" s="2" t="s">
        <v>61</v>
      </c>
      <c r="C61" s="2" t="s">
        <v>62</v>
      </c>
      <c r="D61" s="2" t="s">
        <v>63</v>
      </c>
    </row>
    <row r="62" spans="1:7" x14ac:dyDescent="0.25">
      <c r="A62" s="1" t="s">
        <v>64</v>
      </c>
      <c r="B62" s="7">
        <v>291400</v>
      </c>
      <c r="C62" s="7">
        <v>159350</v>
      </c>
      <c r="D62" s="7">
        <v>121100</v>
      </c>
    </row>
    <row r="63" spans="1:7" x14ac:dyDescent="0.25">
      <c r="A63" s="1" t="s">
        <v>65</v>
      </c>
      <c r="B63" s="7">
        <v>219750</v>
      </c>
      <c r="C63" s="7">
        <v>122200</v>
      </c>
      <c r="D63" s="7">
        <v>91400</v>
      </c>
    </row>
    <row r="64" spans="1:7" x14ac:dyDescent="0.25">
      <c r="A64" s="1" t="s">
        <v>66</v>
      </c>
      <c r="B64" s="7">
        <v>149400</v>
      </c>
      <c r="C64" s="7">
        <v>81500</v>
      </c>
      <c r="D64" s="7">
        <v>60450</v>
      </c>
    </row>
    <row r="65" spans="1:7" x14ac:dyDescent="0.25">
      <c r="A65" s="1" t="s">
        <v>28</v>
      </c>
      <c r="B65" s="7">
        <v>104900</v>
      </c>
      <c r="C65" s="7">
        <v>59300</v>
      </c>
      <c r="D65" s="7">
        <v>45600</v>
      </c>
    </row>
    <row r="66" spans="1:7" x14ac:dyDescent="0.25">
      <c r="A66" s="1" t="s">
        <v>67</v>
      </c>
      <c r="B66" s="7">
        <v>90150</v>
      </c>
      <c r="C66" s="7">
        <v>48250</v>
      </c>
      <c r="D66" s="7">
        <v>37000</v>
      </c>
    </row>
    <row r="67" spans="1:7" x14ac:dyDescent="0.25">
      <c r="A67" s="1" t="s">
        <v>68</v>
      </c>
      <c r="B67" s="7">
        <v>75250</v>
      </c>
      <c r="C67" s="7">
        <v>40750</v>
      </c>
      <c r="D67" s="7">
        <v>30800</v>
      </c>
    </row>
    <row r="70" spans="1:7" ht="18.75" x14ac:dyDescent="0.3">
      <c r="A70" s="76" t="s">
        <v>69</v>
      </c>
      <c r="B70" s="76"/>
      <c r="C70" s="76"/>
      <c r="D70" s="76"/>
      <c r="E70" s="76"/>
      <c r="F70" s="76"/>
      <c r="G70" s="76"/>
    </row>
    <row r="71" spans="1:7" x14ac:dyDescent="0.25">
      <c r="A71" s="1" t="s">
        <v>70</v>
      </c>
    </row>
    <row r="72" spans="1:7" x14ac:dyDescent="0.25">
      <c r="A72" s="1" t="s">
        <v>71</v>
      </c>
    </row>
    <row r="73" spans="1:7" x14ac:dyDescent="0.25">
      <c r="A73" s="1" t="s">
        <v>137</v>
      </c>
    </row>
    <row r="75" spans="1:7" x14ac:dyDescent="0.25">
      <c r="A75" s="2" t="s">
        <v>72</v>
      </c>
    </row>
    <row r="76" spans="1:7" x14ac:dyDescent="0.25">
      <c r="A76" s="8" t="s">
        <v>73</v>
      </c>
    </row>
    <row r="83" spans="1:1" x14ac:dyDescent="0.25">
      <c r="A83" s="8" t="s">
        <v>74</v>
      </c>
    </row>
    <row r="90" spans="1:1" x14ac:dyDescent="0.25">
      <c r="A90" s="8" t="s">
        <v>75</v>
      </c>
    </row>
  </sheetData>
  <mergeCells count="3">
    <mergeCell ref="A7:G7"/>
    <mergeCell ref="A50:G50"/>
    <mergeCell ref="A70:G70"/>
  </mergeCells>
  <conditionalFormatting sqref="B10">
    <cfRule type="expression" dxfId="4" priority="1">
      <formula>$C$12=$A$9</formula>
    </cfRule>
    <cfRule type="expression" dxfId="3" priority="5">
      <formula>$B$16=$A$2</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2EC82-9687-4685-AD67-4394187FD112}">
  <dimension ref="B1:AB33"/>
  <sheetViews>
    <sheetView tabSelected="1" workbookViewId="0">
      <selection activeCell="F16" sqref="F16:F17"/>
    </sheetView>
  </sheetViews>
  <sheetFormatPr defaultColWidth="9.140625" defaultRowHeight="15" x14ac:dyDescent="0.25"/>
  <cols>
    <col min="1" max="1" width="2.5703125" style="1" customWidth="1"/>
    <col min="2" max="2" width="28.5703125" style="1" bestFit="1" customWidth="1"/>
    <col min="3" max="3" width="23.42578125" style="1" bestFit="1" customWidth="1"/>
    <col min="4" max="4" width="26.85546875" style="1" bestFit="1" customWidth="1"/>
    <col min="5" max="5" width="14" style="1" customWidth="1"/>
    <col min="6" max="6" width="21.7109375" style="1" customWidth="1"/>
    <col min="7" max="7" width="24" style="1" bestFit="1" customWidth="1"/>
    <col min="8" max="8" width="20.28515625" style="1" bestFit="1" customWidth="1"/>
    <col min="9" max="9" width="31.85546875" style="1" bestFit="1" customWidth="1"/>
    <col min="10" max="10" width="25.28515625" style="1" bestFit="1" customWidth="1"/>
    <col min="11" max="11" width="22.5703125" style="1" bestFit="1" customWidth="1"/>
    <col min="12" max="12" width="22.7109375" style="1" bestFit="1" customWidth="1"/>
    <col min="13" max="13" width="16.5703125" style="1" bestFit="1" customWidth="1"/>
    <col min="14" max="14" width="11.140625" style="1" customWidth="1"/>
    <col min="15" max="16" width="12.7109375" style="1" customWidth="1"/>
    <col min="17" max="17" width="16.7109375" style="1" customWidth="1"/>
    <col min="18" max="19" width="18.42578125" style="1" customWidth="1"/>
    <col min="20" max="22" width="17.28515625" style="1" customWidth="1"/>
    <col min="23" max="24" width="28.5703125" style="1" customWidth="1"/>
    <col min="25" max="25" width="17.28515625" style="1" customWidth="1"/>
    <col min="26" max="26" width="18.85546875" style="1" customWidth="1"/>
    <col min="27" max="27" width="16.140625" style="1" customWidth="1"/>
    <col min="28" max="28" width="15.42578125" style="1" customWidth="1"/>
    <col min="29" max="29" width="9.140625" style="1" customWidth="1"/>
    <col min="30" max="16384" width="9.140625" style="1"/>
  </cols>
  <sheetData>
    <row r="1" spans="2:28" ht="15.75" thickBot="1" x14ac:dyDescent="0.3"/>
    <row r="2" spans="2:28" x14ac:dyDescent="0.25">
      <c r="B2" s="82" t="s">
        <v>17</v>
      </c>
      <c r="C2" s="83"/>
      <c r="D2" s="14"/>
      <c r="E2" s="14"/>
      <c r="F2" s="15"/>
    </row>
    <row r="3" spans="2:28" x14ac:dyDescent="0.25">
      <c r="B3" s="47" t="s">
        <v>76</v>
      </c>
      <c r="C3" s="84" t="s">
        <v>77</v>
      </c>
      <c r="D3" s="84"/>
      <c r="E3" s="84"/>
      <c r="F3" s="85"/>
    </row>
    <row r="4" spans="2:28" x14ac:dyDescent="0.25">
      <c r="B4" s="47" t="s">
        <v>78</v>
      </c>
      <c r="C4" s="84" t="s">
        <v>79</v>
      </c>
      <c r="D4" s="84"/>
      <c r="E4" s="84"/>
      <c r="F4" s="85"/>
    </row>
    <row r="5" spans="2:28" ht="29.25" customHeight="1" x14ac:dyDescent="0.25">
      <c r="B5" s="47" t="s">
        <v>80</v>
      </c>
      <c r="C5" s="84" t="s">
        <v>81</v>
      </c>
      <c r="D5" s="84"/>
      <c r="E5" s="84"/>
      <c r="F5" s="85"/>
    </row>
    <row r="6" spans="2:28" ht="33" customHeight="1" x14ac:dyDescent="0.25">
      <c r="B6" s="47" t="s">
        <v>82</v>
      </c>
      <c r="C6" s="84" t="s">
        <v>83</v>
      </c>
      <c r="D6" s="84"/>
      <c r="E6" s="84"/>
      <c r="F6" s="85"/>
    </row>
    <row r="7" spans="2:28" x14ac:dyDescent="0.25">
      <c r="B7" s="16"/>
      <c r="F7" s="17"/>
    </row>
    <row r="8" spans="2:28" x14ac:dyDescent="0.25">
      <c r="B8" s="86" t="s">
        <v>13</v>
      </c>
      <c r="C8" s="87"/>
      <c r="D8" s="74"/>
      <c r="E8" s="74"/>
      <c r="F8" s="75"/>
    </row>
    <row r="9" spans="2:28" x14ac:dyDescent="0.25">
      <c r="B9" s="16" t="s">
        <v>15</v>
      </c>
      <c r="C9" s="1" t="s">
        <v>84</v>
      </c>
      <c r="F9" s="17"/>
    </row>
    <row r="10" spans="2:28" ht="15.75" thickBot="1" x14ac:dyDescent="0.3">
      <c r="B10" s="18" t="s">
        <v>85</v>
      </c>
      <c r="C10" s="19" t="s">
        <v>86</v>
      </c>
      <c r="D10" s="19"/>
      <c r="E10" s="19"/>
      <c r="F10" s="20"/>
    </row>
    <row r="12" spans="2:28" x14ac:dyDescent="0.25">
      <c r="N12" s="77" t="s">
        <v>87</v>
      </c>
      <c r="O12" s="78"/>
      <c r="P12" s="78"/>
      <c r="Q12" s="78"/>
      <c r="R12" s="79"/>
      <c r="S12" s="63"/>
      <c r="T12" s="80" t="s">
        <v>88</v>
      </c>
      <c r="U12" s="81"/>
      <c r="V12" s="81"/>
      <c r="W12" s="81"/>
      <c r="X12" s="64" t="s">
        <v>89</v>
      </c>
      <c r="Y12" s="77" t="s">
        <v>15</v>
      </c>
      <c r="Z12" s="78"/>
      <c r="AA12" s="78"/>
      <c r="AB12" s="79"/>
    </row>
    <row r="13" spans="2:28" s="2" customFormat="1" x14ac:dyDescent="0.25">
      <c r="B13" s="22" t="s">
        <v>13</v>
      </c>
      <c r="C13" s="22" t="s">
        <v>17</v>
      </c>
      <c r="D13" s="22" t="s">
        <v>131</v>
      </c>
      <c r="E13" s="22" t="s">
        <v>23</v>
      </c>
      <c r="F13" s="22" t="s">
        <v>26</v>
      </c>
      <c r="G13" s="22" t="s">
        <v>30</v>
      </c>
      <c r="H13" s="22" t="s">
        <v>32</v>
      </c>
      <c r="I13" s="22" t="s">
        <v>35</v>
      </c>
      <c r="J13" s="22" t="s">
        <v>38</v>
      </c>
      <c r="K13" s="22" t="s">
        <v>41</v>
      </c>
      <c r="L13" s="22" t="s">
        <v>44</v>
      </c>
      <c r="M13" s="22" t="s">
        <v>90</v>
      </c>
      <c r="N13" s="51" t="s">
        <v>91</v>
      </c>
      <c r="O13" s="46" t="s">
        <v>92</v>
      </c>
      <c r="P13" s="46" t="s">
        <v>61</v>
      </c>
      <c r="Q13" s="46" t="s">
        <v>93</v>
      </c>
      <c r="R13" s="52" t="s">
        <v>94</v>
      </c>
      <c r="S13" s="2" t="s">
        <v>95</v>
      </c>
      <c r="T13" s="51" t="s">
        <v>96</v>
      </c>
      <c r="U13" s="46" t="s">
        <v>97</v>
      </c>
      <c r="V13" s="46" t="s">
        <v>61</v>
      </c>
      <c r="W13" s="46" t="s">
        <v>98</v>
      </c>
      <c r="X13" s="65" t="s">
        <v>89</v>
      </c>
      <c r="Y13" s="56" t="s">
        <v>99</v>
      </c>
      <c r="Z13" s="2" t="s">
        <v>100</v>
      </c>
      <c r="AA13" s="2" t="s">
        <v>101</v>
      </c>
      <c r="AB13" s="57" t="s">
        <v>102</v>
      </c>
    </row>
    <row r="14" spans="2:28" x14ac:dyDescent="0.25">
      <c r="B14" s="21" t="s">
        <v>15</v>
      </c>
      <c r="C14" s="21" t="s">
        <v>76</v>
      </c>
      <c r="D14" s="21" t="s">
        <v>103</v>
      </c>
      <c r="E14" s="41">
        <v>0.05</v>
      </c>
      <c r="F14" s="21" t="s">
        <v>28</v>
      </c>
      <c r="G14" s="41">
        <v>0.75</v>
      </c>
      <c r="H14" s="21">
        <v>7.5</v>
      </c>
      <c r="I14" s="21" t="s">
        <v>22</v>
      </c>
      <c r="J14" s="21">
        <v>90</v>
      </c>
      <c r="K14" s="21">
        <v>220</v>
      </c>
      <c r="L14" s="41">
        <v>1</v>
      </c>
      <c r="M14" s="21">
        <f>+H14*K14/60*L14</f>
        <v>27.5</v>
      </c>
      <c r="N14" s="53">
        <f>+VLOOKUP(F14,Beregninger!B3:D9,3,FALSE)</f>
        <v>59300</v>
      </c>
      <c r="O14" s="54">
        <f>+VLOOKUP(F14,Beregninger!B18:C24,2,FALSE)</f>
        <v>47440</v>
      </c>
      <c r="P14" s="54">
        <f>+VLOOKUP(F14,Beregninger!B3:C9,2,FALSE)</f>
        <v>104900</v>
      </c>
      <c r="Q14" s="54">
        <f>+VLOOKUP(F14,Beregninger!B3:E9,4,FALSE)</f>
        <v>45600</v>
      </c>
      <c r="R14" s="55">
        <f>+VLOOKUP(F14,Beregninger!B18:D24,3,FALSE)</f>
        <v>15959.999999999998</v>
      </c>
      <c r="S14" s="54">
        <f>+IF(I14="Ja",1,0)</f>
        <v>1</v>
      </c>
      <c r="T14" s="53">
        <f>+M14*N14</f>
        <v>1630750</v>
      </c>
      <c r="U14" s="54">
        <f>+Q14*K14*L14*S14*H14/J14</f>
        <v>836000</v>
      </c>
      <c r="V14" s="54">
        <f>+P14*K14*H14/60</f>
        <v>2884750</v>
      </c>
      <c r="W14" s="62">
        <f>+T14+U14+V14</f>
        <v>5351500</v>
      </c>
      <c r="X14" s="66">
        <f>+IF(B14=B9,1,0)</f>
        <v>1</v>
      </c>
      <c r="Y14" s="53">
        <f>+R14*K14*G14*L14*S14*H14/J14*X14</f>
        <v>219449.99999999997</v>
      </c>
      <c r="Z14" s="54">
        <f>+M14*O14*G14*X14</f>
        <v>978450</v>
      </c>
      <c r="AA14" s="62">
        <f>+Y14+Z14*X14</f>
        <v>1197900</v>
      </c>
      <c r="AB14" s="61">
        <f>+W14*X14*(100%-G14)</f>
        <v>1337875</v>
      </c>
    </row>
    <row r="17" spans="2:4" ht="15.75" thickBot="1" x14ac:dyDescent="0.3"/>
    <row r="18" spans="2:4" s="2" customFormat="1" x14ac:dyDescent="0.25">
      <c r="B18" s="42" t="s">
        <v>47</v>
      </c>
      <c r="C18" s="44"/>
    </row>
    <row r="19" spans="2:4" x14ac:dyDescent="0.25">
      <c r="B19" s="16" t="s">
        <v>49</v>
      </c>
      <c r="C19" s="58"/>
    </row>
    <row r="20" spans="2:4" ht="15.75" thickBot="1" x14ac:dyDescent="0.3">
      <c r="B20" s="18" t="s">
        <v>98</v>
      </c>
      <c r="C20" s="60">
        <f>IF(B14=B9,W14,W14+W14*E14)</f>
        <v>5351500</v>
      </c>
    </row>
    <row r="21" spans="2:4" hidden="1" x14ac:dyDescent="0.25">
      <c r="B21" s="1" t="s">
        <v>47</v>
      </c>
      <c r="C21" s="7">
        <f>+IF(C19=0,C20,C19)</f>
        <v>5351500</v>
      </c>
    </row>
    <row r="22" spans="2:4" ht="15.75" thickBot="1" x14ac:dyDescent="0.3"/>
    <row r="23" spans="2:4" s="2" customFormat="1" x14ac:dyDescent="0.25">
      <c r="B23" s="42" t="s">
        <v>104</v>
      </c>
      <c r="C23" s="43"/>
      <c r="D23" s="44" t="s">
        <v>105</v>
      </c>
    </row>
    <row r="24" spans="2:4" x14ac:dyDescent="0.25">
      <c r="B24" s="16" t="s">
        <v>102</v>
      </c>
      <c r="C24" s="59">
        <f>+IF(B14=B9,AB14,C21)</f>
        <v>1337875</v>
      </c>
      <c r="D24" s="69">
        <f>+C24/C21</f>
        <v>0.25</v>
      </c>
    </row>
    <row r="25" spans="2:4" x14ac:dyDescent="0.25">
      <c r="B25" s="16" t="s">
        <v>106</v>
      </c>
      <c r="C25" s="59">
        <f>+IF(B14=B9,AA14,0)</f>
        <v>1197900</v>
      </c>
      <c r="D25" s="69">
        <f>+C25/C21</f>
        <v>0.22384378211716341</v>
      </c>
    </row>
    <row r="26" spans="2:4" x14ac:dyDescent="0.25">
      <c r="B26" s="45" t="s">
        <v>107</v>
      </c>
      <c r="C26" s="50">
        <f>+SUM(C24:C25)</f>
        <v>2535775</v>
      </c>
      <c r="D26" s="71">
        <f>+SUM(D24:D25)</f>
        <v>0.47384378211716338</v>
      </c>
    </row>
    <row r="27" spans="2:4" ht="15.75" thickBot="1" x14ac:dyDescent="0.3">
      <c r="B27" s="67" t="s">
        <v>108</v>
      </c>
      <c r="C27" s="68">
        <f>+C21-C26</f>
        <v>2815725</v>
      </c>
      <c r="D27" s="70">
        <f>+C27/C21</f>
        <v>0.52615621788283662</v>
      </c>
    </row>
    <row r="29" spans="2:4" ht="15.75" thickBot="1" x14ac:dyDescent="0.3"/>
    <row r="30" spans="2:4" x14ac:dyDescent="0.25">
      <c r="B30" s="32" t="s">
        <v>69</v>
      </c>
      <c r="C30" s="72">
        <f>+C24/K14</f>
        <v>6081.25</v>
      </c>
    </row>
    <row r="31" spans="2:4" ht="15.75" thickBot="1" x14ac:dyDescent="0.3">
      <c r="B31" s="18" t="s">
        <v>109</v>
      </c>
      <c r="C31" s="73">
        <f>+C25/K14</f>
        <v>5445</v>
      </c>
    </row>
    <row r="33" ht="14.25" customHeight="1" x14ac:dyDescent="0.25"/>
  </sheetData>
  <mergeCells count="9">
    <mergeCell ref="N12:R12"/>
    <mergeCell ref="T12:W12"/>
    <mergeCell ref="Y12:AB12"/>
    <mergeCell ref="B2:C2"/>
    <mergeCell ref="C3:F3"/>
    <mergeCell ref="C4:F4"/>
    <mergeCell ref="C5:F5"/>
    <mergeCell ref="C6:F6"/>
    <mergeCell ref="B8:C8"/>
  </mergeCells>
  <conditionalFormatting sqref="E14">
    <cfRule type="expression" dxfId="2" priority="4">
      <formula>$B$14=$B$9</formula>
    </cfRule>
  </conditionalFormatting>
  <conditionalFormatting sqref="G14">
    <cfRule type="expression" dxfId="1" priority="2">
      <formula>$B$14=$B$10</formula>
    </cfRule>
  </conditionalFormatting>
  <dataValidations count="2">
    <dataValidation type="list" allowBlank="1" showInputMessage="1" showErrorMessage="1" sqref="C14" xr:uid="{1E536CF7-AFF3-41D3-B528-0D002649BB83}">
      <formula1>INDIRECT($B$14)</formula1>
    </dataValidation>
    <dataValidation type="list" allowBlank="1" showInputMessage="1" showErrorMessage="1" sqref="G14" xr:uid="{E930FAE9-4508-46E5-9DD4-D4C07C182422}">
      <formula1>INDIRECT($D$14)</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5678DF6B-4D06-479D-874D-8534AA07A51E}">
            <xm:f>$I$14=List!$E$5</xm:f>
            <x14:dxf>
              <fill>
                <patternFill patternType="lightDown"/>
              </fill>
            </x14:dxf>
          </x14:cfRule>
          <xm:sqref>J14</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r:uid="{766ED522-7744-44F2-98DB-8E4864396E96}">
          <x14:formula1>
            <xm:f>List!$B$4:$D$4</xm:f>
          </x14:formula1>
          <xm:sqref>B14</xm:sqref>
        </x14:dataValidation>
        <x14:dataValidation type="list" allowBlank="1" showInputMessage="1" showErrorMessage="1" xr:uid="{912DC9C4-4BAE-4D58-81AF-16EBB8F63DD5}">
          <x14:formula1>
            <xm:f>List!$E$4:$E$5</xm:f>
          </x14:formula1>
          <xm:sqref>D14 I14</xm:sqref>
        </x14:dataValidation>
        <x14:dataValidation type="list" allowBlank="1" showInputMessage="1" showErrorMessage="1" xr:uid="{371610F6-FCE1-4EF9-9585-0786A55B3F0F}">
          <x14:formula1>
            <xm:f>List!$G$4:$G$9</xm:f>
          </x14:formula1>
          <xm:sqref>F14</xm:sqref>
        </x14:dataValidation>
        <x14:dataValidation type="list" allowBlank="1" showInputMessage="1" showErrorMessage="1" xr:uid="{9073DF24-C85D-48AB-ABC7-E7F059C41B2B}">
          <x14:formula1>
            <xm:f>List!$P$5:$P$6</xm:f>
          </x14:formula1>
          <xm:sqref>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A09F3-7741-4D8D-A312-869B236FAD62}">
  <dimension ref="A2:M57"/>
  <sheetViews>
    <sheetView workbookViewId="0">
      <selection activeCell="E46" sqref="E46"/>
    </sheetView>
  </sheetViews>
  <sheetFormatPr defaultColWidth="9.140625" defaultRowHeight="15" x14ac:dyDescent="0.25"/>
  <cols>
    <col min="1" max="1" width="9.140625" style="1"/>
    <col min="2" max="2" width="21" style="1" bestFit="1" customWidth="1"/>
    <col min="3" max="3" width="12.28515625" style="1" bestFit="1" customWidth="1"/>
    <col min="4" max="4" width="15.28515625" style="1" bestFit="1" customWidth="1"/>
    <col min="5" max="5" width="17.42578125" style="1" bestFit="1" customWidth="1"/>
    <col min="6" max="16384" width="9.140625" style="1"/>
  </cols>
  <sheetData>
    <row r="2" spans="1:13" x14ac:dyDescent="0.25">
      <c r="J2" s="3" t="s">
        <v>47</v>
      </c>
      <c r="K2" s="3" t="s">
        <v>102</v>
      </c>
      <c r="L2" s="3" t="s">
        <v>101</v>
      </c>
      <c r="M2" s="3" t="str">
        <f>I5</f>
        <v>Udekte kostnader</v>
      </c>
    </row>
    <row r="3" spans="1:13" x14ac:dyDescent="0.25">
      <c r="B3" s="1" t="str">
        <f>+Brukerveiledning!A61</f>
        <v>2024-kr</v>
      </c>
      <c r="C3" s="1" t="s">
        <v>61</v>
      </c>
      <c r="D3" s="1" t="s">
        <v>62</v>
      </c>
      <c r="E3" s="1" t="s">
        <v>63</v>
      </c>
      <c r="I3" s="1" t="s">
        <v>47</v>
      </c>
      <c r="J3" s="1">
        <f>+Input!C21</f>
        <v>5351500</v>
      </c>
    </row>
    <row r="4" spans="1:13" x14ac:dyDescent="0.25">
      <c r="A4" s="1" t="str">
        <f>+"Ja"&amp;B4</f>
        <v>JaA</v>
      </c>
      <c r="B4" s="1" t="str">
        <f>Brukerveiledning!A62</f>
        <v>A</v>
      </c>
      <c r="C4" s="7">
        <f>Brukerveiledning!B62</f>
        <v>291400</v>
      </c>
      <c r="D4" s="7">
        <f>Brukerveiledning!C62</f>
        <v>159350</v>
      </c>
      <c r="E4" s="7">
        <f>Brukerveiledning!D62</f>
        <v>121100</v>
      </c>
      <c r="I4" s="1" t="s">
        <v>104</v>
      </c>
      <c r="K4" s="1">
        <f>+Input!C24</f>
        <v>1337875</v>
      </c>
      <c r="L4" s="1">
        <f>+Input!C25</f>
        <v>1197900</v>
      </c>
    </row>
    <row r="5" spans="1:13" x14ac:dyDescent="0.25">
      <c r="A5" s="1" t="str">
        <f t="shared" ref="A5:A9" si="0">+"Ja"&amp;B5</f>
        <v>JaB</v>
      </c>
      <c r="B5" s="1" t="str">
        <f>Brukerveiledning!A63</f>
        <v>B</v>
      </c>
      <c r="C5" s="7">
        <f>Brukerveiledning!B63</f>
        <v>219750</v>
      </c>
      <c r="D5" s="7">
        <f>Brukerveiledning!C63</f>
        <v>122200</v>
      </c>
      <c r="E5" s="7">
        <f>Brukerveiledning!D63</f>
        <v>91400</v>
      </c>
      <c r="I5" s="1" t="s">
        <v>108</v>
      </c>
      <c r="M5" s="1">
        <f>+Input!C27</f>
        <v>2815725</v>
      </c>
    </row>
    <row r="6" spans="1:13" x14ac:dyDescent="0.25">
      <c r="A6" s="1" t="str">
        <f t="shared" si="0"/>
        <v>JaC</v>
      </c>
      <c r="B6" s="1" t="str">
        <f>Brukerveiledning!A64</f>
        <v>C</v>
      </c>
      <c r="C6" s="7">
        <f>Brukerveiledning!B64</f>
        <v>149400</v>
      </c>
      <c r="D6" s="7">
        <f>Brukerveiledning!C64</f>
        <v>81500</v>
      </c>
      <c r="E6" s="7">
        <f>Brukerveiledning!D64</f>
        <v>60450</v>
      </c>
    </row>
    <row r="7" spans="1:13" x14ac:dyDescent="0.25">
      <c r="A7" s="1" t="str">
        <f t="shared" si="0"/>
        <v>JaD</v>
      </c>
      <c r="B7" s="1" t="str">
        <f>Brukerveiledning!A65</f>
        <v>D</v>
      </c>
      <c r="C7" s="7">
        <f>Brukerveiledning!B65</f>
        <v>104900</v>
      </c>
      <c r="D7" s="7">
        <f>Brukerveiledning!C65</f>
        <v>59300</v>
      </c>
      <c r="E7" s="7">
        <f>Brukerveiledning!D65</f>
        <v>45600</v>
      </c>
    </row>
    <row r="8" spans="1:13" x14ac:dyDescent="0.25">
      <c r="A8" s="1" t="str">
        <f t="shared" si="0"/>
        <v>JaE</v>
      </c>
      <c r="B8" s="1" t="str">
        <f>Brukerveiledning!A66</f>
        <v>E</v>
      </c>
      <c r="C8" s="7">
        <f>Brukerveiledning!B66</f>
        <v>90150</v>
      </c>
      <c r="D8" s="7">
        <f>Brukerveiledning!C66</f>
        <v>48250</v>
      </c>
      <c r="E8" s="7">
        <f>Brukerveiledning!D66</f>
        <v>37000</v>
      </c>
    </row>
    <row r="9" spans="1:13" x14ac:dyDescent="0.25">
      <c r="A9" s="1" t="str">
        <f t="shared" si="0"/>
        <v>JaF</v>
      </c>
      <c r="B9" s="1" t="str">
        <f>Brukerveiledning!A67</f>
        <v>F</v>
      </c>
      <c r="C9" s="7">
        <f>Brukerveiledning!B67</f>
        <v>75250</v>
      </c>
      <c r="D9" s="7">
        <f>Brukerveiledning!C67</f>
        <v>40750</v>
      </c>
      <c r="E9" s="7">
        <f>Brukerveiledning!D67</f>
        <v>30800</v>
      </c>
    </row>
    <row r="10" spans="1:13" x14ac:dyDescent="0.25">
      <c r="A10" s="1" t="str">
        <f>+"Nei"&amp;B10</f>
        <v>NeiA</v>
      </c>
      <c r="B10" s="1" t="s">
        <v>64</v>
      </c>
      <c r="C10" s="7"/>
      <c r="D10" s="7"/>
      <c r="E10" s="7">
        <v>0</v>
      </c>
    </row>
    <row r="11" spans="1:13" x14ac:dyDescent="0.25">
      <c r="A11" s="1" t="str">
        <f t="shared" ref="A11:A15" si="1">+"Nei"&amp;B11</f>
        <v>NeiB</v>
      </c>
      <c r="B11" s="1" t="s">
        <v>65</v>
      </c>
      <c r="C11" s="7"/>
      <c r="D11" s="7"/>
      <c r="E11" s="7">
        <v>0</v>
      </c>
    </row>
    <row r="12" spans="1:13" x14ac:dyDescent="0.25">
      <c r="A12" s="1" t="str">
        <f t="shared" si="1"/>
        <v>NeiC</v>
      </c>
      <c r="B12" s="1" t="s">
        <v>66</v>
      </c>
      <c r="C12" s="7"/>
      <c r="D12" s="7"/>
      <c r="E12" s="7">
        <v>0</v>
      </c>
    </row>
    <row r="13" spans="1:13" x14ac:dyDescent="0.25">
      <c r="A13" s="1" t="str">
        <f t="shared" si="1"/>
        <v>NeiD</v>
      </c>
      <c r="B13" s="1" t="s">
        <v>28</v>
      </c>
      <c r="C13" s="7"/>
      <c r="D13" s="7"/>
      <c r="E13" s="7">
        <v>0</v>
      </c>
    </row>
    <row r="14" spans="1:13" x14ac:dyDescent="0.25">
      <c r="A14" s="1" t="str">
        <f t="shared" si="1"/>
        <v>NeiE</v>
      </c>
      <c r="B14" s="1" t="s">
        <v>67</v>
      </c>
      <c r="C14" s="7"/>
      <c r="D14" s="7"/>
      <c r="E14" s="7">
        <v>0</v>
      </c>
    </row>
    <row r="15" spans="1:13" x14ac:dyDescent="0.25">
      <c r="A15" s="1" t="str">
        <f t="shared" si="1"/>
        <v>NeiF</v>
      </c>
      <c r="B15" s="1" t="s">
        <v>68</v>
      </c>
      <c r="C15" s="7"/>
      <c r="D15" s="7"/>
      <c r="E15" s="7">
        <v>0</v>
      </c>
    </row>
    <row r="16" spans="1:13" x14ac:dyDescent="0.25">
      <c r="C16" s="7"/>
      <c r="D16" s="7"/>
      <c r="E16" s="7"/>
    </row>
    <row r="17" spans="1:5" x14ac:dyDescent="0.25">
      <c r="C17" s="7" t="s">
        <v>110</v>
      </c>
      <c r="D17" s="7"/>
      <c r="E17" s="7"/>
    </row>
    <row r="18" spans="1:5" x14ac:dyDescent="0.25">
      <c r="B18" s="1" t="str">
        <f>+B3</f>
        <v>2024-kr</v>
      </c>
      <c r="C18" s="7" t="s">
        <v>111</v>
      </c>
      <c r="D18" s="7" t="s">
        <v>112</v>
      </c>
      <c r="E18" s="7"/>
    </row>
    <row r="19" spans="1:5" x14ac:dyDescent="0.25">
      <c r="A19" s="1" t="str">
        <f>+"Ja"&amp;B19</f>
        <v>JaA</v>
      </c>
      <c r="B19" s="1" t="s">
        <v>64</v>
      </c>
      <c r="C19" s="7">
        <f>+D4*C$32</f>
        <v>127480</v>
      </c>
      <c r="D19" s="7">
        <f>+E4*D$32</f>
        <v>42385</v>
      </c>
      <c r="E19" s="7"/>
    </row>
    <row r="20" spans="1:5" x14ac:dyDescent="0.25">
      <c r="A20" s="1" t="str">
        <f t="shared" ref="A20:A24" si="2">+"Ja"&amp;B20</f>
        <v>JaB</v>
      </c>
      <c r="B20" s="1" t="s">
        <v>65</v>
      </c>
      <c r="C20" s="7">
        <f>+D5*C$32</f>
        <v>97760</v>
      </c>
      <c r="D20" s="7">
        <f t="shared" ref="D20:D24" si="3">+E5*D$32</f>
        <v>31989.999999999996</v>
      </c>
      <c r="E20" s="7"/>
    </row>
    <row r="21" spans="1:5" x14ac:dyDescent="0.25">
      <c r="A21" s="1" t="str">
        <f t="shared" si="2"/>
        <v>JaC</v>
      </c>
      <c r="B21" s="1" t="s">
        <v>66</v>
      </c>
      <c r="C21" s="7">
        <f>+D6*C$32</f>
        <v>65200</v>
      </c>
      <c r="D21" s="7">
        <f t="shared" si="3"/>
        <v>21157.5</v>
      </c>
      <c r="E21" s="7"/>
    </row>
    <row r="22" spans="1:5" x14ac:dyDescent="0.25">
      <c r="A22" s="1" t="str">
        <f t="shared" si="2"/>
        <v>JaD</v>
      </c>
      <c r="B22" s="1" t="s">
        <v>28</v>
      </c>
      <c r="C22" s="7">
        <f>+D7*C$32</f>
        <v>47440</v>
      </c>
      <c r="D22" s="7">
        <f t="shared" si="3"/>
        <v>15959.999999999998</v>
      </c>
      <c r="E22" s="7"/>
    </row>
    <row r="23" spans="1:5" x14ac:dyDescent="0.25">
      <c r="A23" s="1" t="str">
        <f t="shared" si="2"/>
        <v>JaE</v>
      </c>
      <c r="B23" s="1" t="s">
        <v>67</v>
      </c>
      <c r="C23" s="7">
        <f>+D8*C$32</f>
        <v>38600</v>
      </c>
      <c r="D23" s="7">
        <f t="shared" si="3"/>
        <v>12950</v>
      </c>
      <c r="E23" s="7"/>
    </row>
    <row r="24" spans="1:5" x14ac:dyDescent="0.25">
      <c r="A24" s="1" t="str">
        <f t="shared" si="2"/>
        <v>JaF</v>
      </c>
      <c r="B24" s="1" t="s">
        <v>68</v>
      </c>
      <c r="C24" s="7">
        <f>+D9*C$32</f>
        <v>32600</v>
      </c>
      <c r="D24" s="7">
        <f t="shared" si="3"/>
        <v>10780</v>
      </c>
      <c r="E24" s="7"/>
    </row>
    <row r="25" spans="1:5" x14ac:dyDescent="0.25">
      <c r="A25" s="1" t="str">
        <f>+"Nei"&amp;B25</f>
        <v>NeiA</v>
      </c>
      <c r="B25" s="1" t="s">
        <v>64</v>
      </c>
      <c r="C25" s="7"/>
      <c r="D25" s="7">
        <v>0</v>
      </c>
      <c r="E25" s="7"/>
    </row>
    <row r="26" spans="1:5" x14ac:dyDescent="0.25">
      <c r="A26" s="1" t="str">
        <f t="shared" ref="A26:A30" si="4">+"Nei"&amp;B26</f>
        <v>NeiB</v>
      </c>
      <c r="B26" s="1" t="s">
        <v>65</v>
      </c>
      <c r="C26" s="7"/>
      <c r="D26" s="7">
        <v>0</v>
      </c>
      <c r="E26" s="7"/>
    </row>
    <row r="27" spans="1:5" x14ac:dyDescent="0.25">
      <c r="A27" s="1" t="str">
        <f t="shared" si="4"/>
        <v>NeiC</v>
      </c>
      <c r="B27" s="1" t="s">
        <v>66</v>
      </c>
      <c r="C27" s="7"/>
      <c r="D27" s="7">
        <v>0</v>
      </c>
      <c r="E27" s="7"/>
    </row>
    <row r="28" spans="1:5" x14ac:dyDescent="0.25">
      <c r="A28" s="1" t="str">
        <f t="shared" si="4"/>
        <v>NeiD</v>
      </c>
      <c r="B28" s="1" t="s">
        <v>28</v>
      </c>
      <c r="C28" s="7"/>
      <c r="D28" s="7">
        <v>0</v>
      </c>
      <c r="E28" s="7"/>
    </row>
    <row r="29" spans="1:5" x14ac:dyDescent="0.25">
      <c r="A29" s="1" t="str">
        <f t="shared" si="4"/>
        <v>NeiE</v>
      </c>
      <c r="B29" s="1" t="s">
        <v>67</v>
      </c>
      <c r="C29" s="7"/>
      <c r="D29" s="7">
        <v>0</v>
      </c>
      <c r="E29" s="7"/>
    </row>
    <row r="30" spans="1:5" x14ac:dyDescent="0.25">
      <c r="A30" s="1" t="str">
        <f t="shared" si="4"/>
        <v>NeiF</v>
      </c>
      <c r="B30" s="1" t="s">
        <v>68</v>
      </c>
      <c r="C30" s="7"/>
      <c r="D30" s="7">
        <v>0</v>
      </c>
      <c r="E30" s="7"/>
    </row>
    <row r="32" spans="1:5" x14ac:dyDescent="0.25">
      <c r="B32" s="1" t="s">
        <v>113</v>
      </c>
      <c r="C32" s="48">
        <v>0.8</v>
      </c>
      <c r="D32" s="48">
        <v>0.35</v>
      </c>
    </row>
    <row r="38" spans="2:3" x14ac:dyDescent="0.25">
      <c r="B38" s="1" t="str">
        <f>+B18</f>
        <v>2024-kr</v>
      </c>
    </row>
    <row r="39" spans="2:3" x14ac:dyDescent="0.25">
      <c r="B39" s="1" t="s">
        <v>64</v>
      </c>
      <c r="C39" s="49">
        <f>+D4</f>
        <v>159350</v>
      </c>
    </row>
    <row r="40" spans="2:3" x14ac:dyDescent="0.25">
      <c r="B40" s="1" t="s">
        <v>65</v>
      </c>
      <c r="C40" s="49">
        <f t="shared" ref="C40:C44" si="5">+D5</f>
        <v>122200</v>
      </c>
    </row>
    <row r="41" spans="2:3" x14ac:dyDescent="0.25">
      <c r="B41" s="1" t="s">
        <v>66</v>
      </c>
      <c r="C41" s="49">
        <f t="shared" si="5"/>
        <v>81500</v>
      </c>
    </row>
    <row r="42" spans="2:3" x14ac:dyDescent="0.25">
      <c r="B42" s="1" t="s">
        <v>28</v>
      </c>
      <c r="C42" s="49">
        <f t="shared" si="5"/>
        <v>59300</v>
      </c>
    </row>
    <row r="43" spans="2:3" x14ac:dyDescent="0.25">
      <c r="B43" s="1" t="s">
        <v>67</v>
      </c>
      <c r="C43" s="49">
        <f t="shared" si="5"/>
        <v>48250</v>
      </c>
    </row>
    <row r="44" spans="2:3" x14ac:dyDescent="0.25">
      <c r="B44" s="1" t="s">
        <v>68</v>
      </c>
      <c r="C44" s="49">
        <f t="shared" si="5"/>
        <v>40750</v>
      </c>
    </row>
    <row r="49" spans="2:3" x14ac:dyDescent="0.25">
      <c r="B49" s="1" t="str">
        <f>+B38</f>
        <v>2024-kr</v>
      </c>
    </row>
    <row r="50" spans="2:3" x14ac:dyDescent="0.25">
      <c r="B50" s="1" t="s">
        <v>64</v>
      </c>
      <c r="C50" s="49">
        <f>+C19</f>
        <v>127480</v>
      </c>
    </row>
    <row r="51" spans="2:3" x14ac:dyDescent="0.25">
      <c r="B51" s="1" t="s">
        <v>65</v>
      </c>
      <c r="C51" s="49">
        <f t="shared" ref="C51:C55" si="6">+C20</f>
        <v>97760</v>
      </c>
    </row>
    <row r="52" spans="2:3" x14ac:dyDescent="0.25">
      <c r="B52" s="1" t="s">
        <v>66</v>
      </c>
      <c r="C52" s="49">
        <f t="shared" si="6"/>
        <v>65200</v>
      </c>
    </row>
    <row r="53" spans="2:3" x14ac:dyDescent="0.25">
      <c r="B53" s="1" t="s">
        <v>28</v>
      </c>
      <c r="C53" s="49">
        <f t="shared" si="6"/>
        <v>47440</v>
      </c>
    </row>
    <row r="54" spans="2:3" x14ac:dyDescent="0.25">
      <c r="B54" s="1" t="s">
        <v>67</v>
      </c>
      <c r="C54" s="49">
        <f t="shared" si="6"/>
        <v>38600</v>
      </c>
    </row>
    <row r="55" spans="2:3" x14ac:dyDescent="0.25">
      <c r="B55" s="1" t="s">
        <v>68</v>
      </c>
      <c r="C55" s="49">
        <f t="shared" si="6"/>
        <v>32600</v>
      </c>
    </row>
    <row r="57" spans="2:3" x14ac:dyDescent="0.25">
      <c r="B57" s="1" t="s">
        <v>113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73D04-4145-426E-B9AF-37AAA4E319F8}">
  <dimension ref="B1:G21"/>
  <sheetViews>
    <sheetView workbookViewId="0">
      <selection activeCell="J17" sqref="J17"/>
    </sheetView>
  </sheetViews>
  <sheetFormatPr defaultColWidth="11.42578125" defaultRowHeight="15" x14ac:dyDescent="0.25"/>
  <cols>
    <col min="1" max="1" width="6.42578125" style="1" customWidth="1"/>
    <col min="2" max="2" width="5.28515625" style="1" customWidth="1"/>
    <col min="3" max="3" width="27.7109375" style="1" customWidth="1"/>
    <col min="4" max="4" width="23.28515625" style="1" bestFit="1" customWidth="1"/>
    <col min="5" max="5" width="19" style="1" bestFit="1" customWidth="1"/>
    <col min="6" max="6" width="38.5703125" style="1" customWidth="1"/>
    <col min="7" max="7" width="4.7109375" style="1" customWidth="1"/>
    <col min="8" max="16384" width="11.42578125" style="1"/>
  </cols>
  <sheetData>
    <row r="1" spans="2:7" ht="15.75" thickBot="1" x14ac:dyDescent="0.3"/>
    <row r="2" spans="2:7" x14ac:dyDescent="0.25">
      <c r="B2" s="32"/>
      <c r="C2" s="88" t="s">
        <v>133</v>
      </c>
      <c r="D2" s="88"/>
      <c r="E2" s="88"/>
      <c r="F2" s="88"/>
      <c r="G2" s="15"/>
    </row>
    <row r="3" spans="2:7" ht="15.75" thickBot="1" x14ac:dyDescent="0.3">
      <c r="B3" s="16"/>
      <c r="G3" s="17"/>
    </row>
    <row r="4" spans="2:7" x14ac:dyDescent="0.25">
      <c r="B4" s="16"/>
      <c r="C4" s="31" t="s">
        <v>114</v>
      </c>
      <c r="D4" s="30" t="s">
        <v>84</v>
      </c>
      <c r="E4" s="30" t="s">
        <v>86</v>
      </c>
      <c r="F4" s="29" t="s">
        <v>115</v>
      </c>
      <c r="G4" s="17"/>
    </row>
    <row r="5" spans="2:7" ht="30" x14ac:dyDescent="0.25">
      <c r="B5" s="16"/>
      <c r="C5" s="28" t="s">
        <v>116</v>
      </c>
      <c r="D5" s="27"/>
      <c r="E5" s="27" t="s">
        <v>117</v>
      </c>
      <c r="F5" s="26" t="s">
        <v>118</v>
      </c>
      <c r="G5" s="17"/>
    </row>
    <row r="6" spans="2:7" ht="60" x14ac:dyDescent="0.25">
      <c r="B6" s="16"/>
      <c r="C6" s="25" t="s">
        <v>119</v>
      </c>
      <c r="D6" s="24"/>
      <c r="E6" s="24" t="s">
        <v>117</v>
      </c>
      <c r="F6" s="23" t="s">
        <v>118</v>
      </c>
      <c r="G6" s="17"/>
    </row>
    <row r="7" spans="2:7" ht="105" x14ac:dyDescent="0.25">
      <c r="B7" s="16"/>
      <c r="C7" s="25" t="s">
        <v>120</v>
      </c>
      <c r="D7" s="24" t="s">
        <v>117</v>
      </c>
      <c r="E7" s="24" t="s">
        <v>117</v>
      </c>
      <c r="F7" s="23" t="s">
        <v>121</v>
      </c>
      <c r="G7" s="17"/>
    </row>
    <row r="8" spans="2:7" ht="105" x14ac:dyDescent="0.25">
      <c r="B8" s="16"/>
      <c r="C8" s="25" t="s">
        <v>122</v>
      </c>
      <c r="D8" s="24" t="s">
        <v>117</v>
      </c>
      <c r="E8" s="24" t="s">
        <v>117</v>
      </c>
      <c r="F8" s="23" t="s">
        <v>121</v>
      </c>
      <c r="G8" s="17"/>
    </row>
    <row r="9" spans="2:7" ht="15.75" thickBot="1" x14ac:dyDescent="0.3">
      <c r="B9" s="18"/>
      <c r="C9" s="19"/>
      <c r="D9" s="19"/>
      <c r="E9" s="19"/>
      <c r="F9" s="19"/>
      <c r="G9" s="20"/>
    </row>
    <row r="10" spans="2:7" ht="15.75" thickBot="1" x14ac:dyDescent="0.3"/>
    <row r="11" spans="2:7" x14ac:dyDescent="0.25">
      <c r="B11" s="32"/>
      <c r="C11" s="88" t="s">
        <v>132</v>
      </c>
      <c r="D11" s="88"/>
      <c r="E11" s="88"/>
      <c r="F11" s="88"/>
      <c r="G11" s="15"/>
    </row>
    <row r="12" spans="2:7" x14ac:dyDescent="0.25">
      <c r="B12" s="16"/>
      <c r="C12" s="5"/>
      <c r="D12" s="5"/>
      <c r="E12" s="5"/>
      <c r="F12" s="5"/>
      <c r="G12" s="17"/>
    </row>
    <row r="13" spans="2:7" ht="15.75" thickBot="1" x14ac:dyDescent="0.3">
      <c r="B13" s="16"/>
      <c r="G13" s="17"/>
    </row>
    <row r="14" spans="2:7" x14ac:dyDescent="0.25">
      <c r="B14" s="16"/>
      <c r="C14" s="31" t="s">
        <v>114</v>
      </c>
      <c r="D14" s="30" t="s">
        <v>84</v>
      </c>
      <c r="E14" s="30" t="s">
        <v>86</v>
      </c>
      <c r="F14" s="29" t="s">
        <v>115</v>
      </c>
      <c r="G14" s="17"/>
    </row>
    <row r="15" spans="2:7" ht="30" x14ac:dyDescent="0.25">
      <c r="B15" s="16"/>
      <c r="C15" s="28" t="s">
        <v>116</v>
      </c>
      <c r="D15" s="27"/>
      <c r="E15" s="27" t="s">
        <v>117</v>
      </c>
      <c r="F15" s="26" t="s">
        <v>118</v>
      </c>
      <c r="G15" s="17"/>
    </row>
    <row r="16" spans="2:7" ht="60" x14ac:dyDescent="0.25">
      <c r="B16" s="16"/>
      <c r="C16" s="25" t="s">
        <v>119</v>
      </c>
      <c r="D16" s="24"/>
      <c r="E16" s="24" t="s">
        <v>117</v>
      </c>
      <c r="F16" s="23" t="s">
        <v>118</v>
      </c>
      <c r="G16" s="17"/>
    </row>
    <row r="17" spans="2:7" ht="105" x14ac:dyDescent="0.25">
      <c r="B17" s="16"/>
      <c r="C17" s="25" t="s">
        <v>120</v>
      </c>
      <c r="D17" s="24" t="s">
        <v>117</v>
      </c>
      <c r="E17" s="24" t="s">
        <v>117</v>
      </c>
      <c r="F17" s="23" t="s">
        <v>138</v>
      </c>
      <c r="G17" s="17"/>
    </row>
    <row r="18" spans="2:7" ht="105" x14ac:dyDescent="0.25">
      <c r="B18" s="16"/>
      <c r="C18" s="25" t="s">
        <v>122</v>
      </c>
      <c r="D18" s="24" t="s">
        <v>117</v>
      </c>
      <c r="E18" s="24" t="s">
        <v>117</v>
      </c>
      <c r="F18" s="23" t="s">
        <v>138</v>
      </c>
      <c r="G18" s="17"/>
    </row>
    <row r="19" spans="2:7" x14ac:dyDescent="0.25">
      <c r="B19" s="16"/>
      <c r="G19" s="17"/>
    </row>
    <row r="20" spans="2:7" x14ac:dyDescent="0.25">
      <c r="B20" s="16"/>
      <c r="G20" s="17"/>
    </row>
    <row r="21" spans="2:7" ht="15.75" thickBot="1" x14ac:dyDescent="0.3">
      <c r="B21" s="18"/>
      <c r="C21" s="19"/>
      <c r="D21" s="19"/>
      <c r="E21" s="19"/>
      <c r="F21" s="19"/>
      <c r="G21" s="20"/>
    </row>
  </sheetData>
  <mergeCells count="2">
    <mergeCell ref="C2:F2"/>
    <mergeCell ref="C11:F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DA47F-2657-415D-8EC4-F6A22811EF6F}">
  <dimension ref="B2:C9"/>
  <sheetViews>
    <sheetView workbookViewId="0">
      <selection activeCell="J8" sqref="J8"/>
    </sheetView>
  </sheetViews>
  <sheetFormatPr defaultColWidth="9.140625" defaultRowHeight="15" x14ac:dyDescent="0.25"/>
  <cols>
    <col min="1" max="1" width="4.42578125" style="1" customWidth="1"/>
    <col min="2" max="2" width="9.140625" style="35"/>
    <col min="3" max="3" width="66.5703125" style="1" customWidth="1"/>
    <col min="4" max="16384" width="9.140625" style="1"/>
  </cols>
  <sheetData>
    <row r="2" spans="2:3" ht="15.75" thickBot="1" x14ac:dyDescent="0.3"/>
    <row r="3" spans="2:3" s="2" customFormat="1" x14ac:dyDescent="0.25">
      <c r="B3" s="38" t="s">
        <v>123</v>
      </c>
      <c r="C3" s="39" t="s">
        <v>124</v>
      </c>
    </row>
    <row r="4" spans="2:3" s="5" customFormat="1" ht="45" x14ac:dyDescent="0.25">
      <c r="B4" s="36" t="s">
        <v>64</v>
      </c>
      <c r="C4" s="33" t="s">
        <v>125</v>
      </c>
    </row>
    <row r="5" spans="2:3" s="5" customFormat="1" ht="60" x14ac:dyDescent="0.25">
      <c r="B5" s="36" t="s">
        <v>65</v>
      </c>
      <c r="C5" s="33" t="s">
        <v>126</v>
      </c>
    </row>
    <row r="6" spans="2:3" s="5" customFormat="1" ht="30" x14ac:dyDescent="0.25">
      <c r="B6" s="36" t="s">
        <v>66</v>
      </c>
      <c r="C6" s="33" t="s">
        <v>127</v>
      </c>
    </row>
    <row r="7" spans="2:3" s="5" customFormat="1" ht="165" x14ac:dyDescent="0.25">
      <c r="B7" s="36" t="s">
        <v>28</v>
      </c>
      <c r="C7" s="33" t="s">
        <v>128</v>
      </c>
    </row>
    <row r="8" spans="2:3" s="5" customFormat="1" ht="105" x14ac:dyDescent="0.25">
      <c r="B8" s="36" t="s">
        <v>67</v>
      </c>
      <c r="C8" s="33" t="s">
        <v>129</v>
      </c>
    </row>
    <row r="9" spans="2:3" s="5" customFormat="1" ht="45.75" thickBot="1" x14ac:dyDescent="0.3">
      <c r="B9" s="37" t="s">
        <v>68</v>
      </c>
      <c r="C9" s="34"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7A9EB-459A-4F0F-95E6-8CE9F7621E8E}">
  <dimension ref="B1:P51"/>
  <sheetViews>
    <sheetView workbookViewId="0">
      <selection activeCell="F30" sqref="F30"/>
    </sheetView>
  </sheetViews>
  <sheetFormatPr defaultColWidth="9.140625" defaultRowHeight="15" x14ac:dyDescent="0.25"/>
  <cols>
    <col min="1" max="16384" width="9.140625" style="1"/>
  </cols>
  <sheetData>
    <row r="1" spans="2:16" x14ac:dyDescent="0.25">
      <c r="J1" t="s">
        <v>22</v>
      </c>
      <c r="K1" t="s">
        <v>103</v>
      </c>
    </row>
    <row r="2" spans="2:16" x14ac:dyDescent="0.25">
      <c r="J2" s="40">
        <v>1</v>
      </c>
      <c r="K2" s="40">
        <v>1</v>
      </c>
    </row>
    <row r="3" spans="2:16" x14ac:dyDescent="0.25">
      <c r="J3" s="40">
        <v>0.99</v>
      </c>
      <c r="K3" s="40">
        <v>0.99</v>
      </c>
    </row>
    <row r="4" spans="2:16" x14ac:dyDescent="0.25">
      <c r="B4" s="3" t="s">
        <v>15</v>
      </c>
      <c r="C4" s="3" t="s">
        <v>85</v>
      </c>
      <c r="E4" s="1" t="s">
        <v>22</v>
      </c>
      <c r="G4" s="1" t="s">
        <v>64</v>
      </c>
      <c r="J4" s="40">
        <v>0.98</v>
      </c>
      <c r="K4" s="40">
        <v>0.98</v>
      </c>
    </row>
    <row r="5" spans="2:16" x14ac:dyDescent="0.25">
      <c r="B5" t="s">
        <v>80</v>
      </c>
      <c r="C5" t="s">
        <v>76</v>
      </c>
      <c r="E5" s="1" t="s">
        <v>103</v>
      </c>
      <c r="G5" s="1" t="s">
        <v>65</v>
      </c>
      <c r="J5" s="40">
        <v>0.97</v>
      </c>
      <c r="K5" s="40">
        <v>0.97</v>
      </c>
      <c r="P5" s="1">
        <v>90</v>
      </c>
    </row>
    <row r="6" spans="2:16" x14ac:dyDescent="0.25">
      <c r="B6" t="s">
        <v>82</v>
      </c>
      <c r="C6" t="s">
        <v>78</v>
      </c>
      <c r="G6" s="1" t="s">
        <v>66</v>
      </c>
      <c r="J6" s="40">
        <v>0.96</v>
      </c>
      <c r="K6" s="40">
        <v>0.96</v>
      </c>
      <c r="P6" s="1">
        <v>120</v>
      </c>
    </row>
    <row r="7" spans="2:16" x14ac:dyDescent="0.25">
      <c r="B7"/>
      <c r="C7" t="s">
        <v>80</v>
      </c>
      <c r="G7" s="1" t="s">
        <v>28</v>
      </c>
      <c r="J7" s="40">
        <v>0.95</v>
      </c>
      <c r="K7" s="40">
        <v>0.95</v>
      </c>
    </row>
    <row r="8" spans="2:16" x14ac:dyDescent="0.25">
      <c r="B8"/>
      <c r="C8" t="s">
        <v>82</v>
      </c>
      <c r="G8" s="1" t="s">
        <v>67</v>
      </c>
      <c r="J8" s="40">
        <v>0.94</v>
      </c>
      <c r="K8" s="40">
        <v>0.94</v>
      </c>
    </row>
    <row r="9" spans="2:16" x14ac:dyDescent="0.25">
      <c r="G9" s="1" t="s">
        <v>68</v>
      </c>
      <c r="J9" s="40">
        <v>0.93</v>
      </c>
      <c r="K9" s="40">
        <v>0.93</v>
      </c>
    </row>
    <row r="10" spans="2:16" x14ac:dyDescent="0.25">
      <c r="J10" s="40">
        <v>0.92</v>
      </c>
      <c r="K10" s="40">
        <v>0.92</v>
      </c>
    </row>
    <row r="11" spans="2:16" x14ac:dyDescent="0.25">
      <c r="J11" s="40">
        <v>0.91</v>
      </c>
      <c r="K11" s="40">
        <v>0.91</v>
      </c>
    </row>
    <row r="12" spans="2:16" x14ac:dyDescent="0.25">
      <c r="J12" s="40">
        <v>0.9</v>
      </c>
      <c r="K12" s="40">
        <v>0.9</v>
      </c>
    </row>
    <row r="13" spans="2:16" x14ac:dyDescent="0.25">
      <c r="J13" s="40">
        <v>0.89</v>
      </c>
      <c r="K13" s="40">
        <v>0.89</v>
      </c>
    </row>
    <row r="14" spans="2:16" x14ac:dyDescent="0.25">
      <c r="J14" s="40">
        <v>0.88</v>
      </c>
      <c r="K14" s="40">
        <v>0.88</v>
      </c>
    </row>
    <row r="15" spans="2:16" x14ac:dyDescent="0.25">
      <c r="J15" s="40">
        <v>0.87</v>
      </c>
      <c r="K15" s="40">
        <v>0.87</v>
      </c>
    </row>
    <row r="16" spans="2:16" x14ac:dyDescent="0.25">
      <c r="J16" s="40">
        <v>0.86</v>
      </c>
      <c r="K16" s="40">
        <v>0.86</v>
      </c>
    </row>
    <row r="17" spans="10:11" x14ac:dyDescent="0.25">
      <c r="J17" s="40">
        <v>0.85</v>
      </c>
      <c r="K17" s="40">
        <v>0.85</v>
      </c>
    </row>
    <row r="18" spans="10:11" x14ac:dyDescent="0.25">
      <c r="J18" s="40">
        <v>0.84</v>
      </c>
      <c r="K18" s="40">
        <v>0.84</v>
      </c>
    </row>
    <row r="19" spans="10:11" x14ac:dyDescent="0.25">
      <c r="J19" s="40">
        <v>0.83</v>
      </c>
      <c r="K19" s="40">
        <v>0.83</v>
      </c>
    </row>
    <row r="20" spans="10:11" x14ac:dyDescent="0.25">
      <c r="J20" s="40">
        <v>0.82</v>
      </c>
      <c r="K20" s="40">
        <v>0.82</v>
      </c>
    </row>
    <row r="21" spans="10:11" x14ac:dyDescent="0.25">
      <c r="J21" s="40">
        <v>0.81</v>
      </c>
      <c r="K21" s="40">
        <v>0.81</v>
      </c>
    </row>
    <row r="22" spans="10:11" x14ac:dyDescent="0.25">
      <c r="J22" s="40">
        <v>0.8</v>
      </c>
      <c r="K22" s="40">
        <v>0.8</v>
      </c>
    </row>
    <row r="23" spans="10:11" x14ac:dyDescent="0.25">
      <c r="J23" s="40">
        <v>0.79</v>
      </c>
      <c r="K23" s="40">
        <v>0.79</v>
      </c>
    </row>
    <row r="24" spans="10:11" x14ac:dyDescent="0.25">
      <c r="J24" s="40">
        <v>0.78</v>
      </c>
      <c r="K24" s="40">
        <v>0.78</v>
      </c>
    </row>
    <row r="25" spans="10:11" x14ac:dyDescent="0.25">
      <c r="J25" s="40">
        <v>0.77</v>
      </c>
      <c r="K25" s="40">
        <v>0.77</v>
      </c>
    </row>
    <row r="26" spans="10:11" x14ac:dyDescent="0.25">
      <c r="J26" s="40">
        <v>0.76</v>
      </c>
      <c r="K26" s="40">
        <v>0.76</v>
      </c>
    </row>
    <row r="27" spans="10:11" x14ac:dyDescent="0.25">
      <c r="J27" s="40">
        <v>0.75</v>
      </c>
      <c r="K27" s="40">
        <v>0.75</v>
      </c>
    </row>
    <row r="28" spans="10:11" x14ac:dyDescent="0.25">
      <c r="J28" s="40">
        <v>0.74</v>
      </c>
      <c r="K28" s="40">
        <v>0.74</v>
      </c>
    </row>
    <row r="29" spans="10:11" x14ac:dyDescent="0.25">
      <c r="J29" s="40">
        <v>0.73</v>
      </c>
      <c r="K29" s="40">
        <v>0.73</v>
      </c>
    </row>
    <row r="30" spans="10:11" x14ac:dyDescent="0.25">
      <c r="J30" s="40">
        <v>0.72</v>
      </c>
      <c r="K30" s="40">
        <v>0.72</v>
      </c>
    </row>
    <row r="31" spans="10:11" x14ac:dyDescent="0.25">
      <c r="J31" s="40">
        <v>0.71</v>
      </c>
      <c r="K31" s="40">
        <v>0.71</v>
      </c>
    </row>
    <row r="32" spans="10:11" x14ac:dyDescent="0.25">
      <c r="J32" s="40">
        <v>0.7</v>
      </c>
      <c r="K32" s="40">
        <v>0.7</v>
      </c>
    </row>
    <row r="33" spans="10:11" x14ac:dyDescent="0.25">
      <c r="J33" s="40">
        <v>0.69</v>
      </c>
      <c r="K33" s="40">
        <v>0.69</v>
      </c>
    </row>
    <row r="34" spans="10:11" x14ac:dyDescent="0.25">
      <c r="J34" s="40">
        <v>0.68</v>
      </c>
      <c r="K34" s="40">
        <v>0.68</v>
      </c>
    </row>
    <row r="35" spans="10:11" x14ac:dyDescent="0.25">
      <c r="J35" s="40">
        <v>0.67</v>
      </c>
      <c r="K35" s="40">
        <v>0.67</v>
      </c>
    </row>
    <row r="36" spans="10:11" x14ac:dyDescent="0.25">
      <c r="J36" s="40">
        <v>0.66</v>
      </c>
      <c r="K36" s="40">
        <v>0.66</v>
      </c>
    </row>
    <row r="37" spans="10:11" x14ac:dyDescent="0.25">
      <c r="J37" s="40">
        <v>0.65</v>
      </c>
      <c r="K37" s="40">
        <v>0.65</v>
      </c>
    </row>
    <row r="38" spans="10:11" x14ac:dyDescent="0.25">
      <c r="J38" s="40">
        <v>0.64</v>
      </c>
      <c r="K38"/>
    </row>
    <row r="39" spans="10:11" x14ac:dyDescent="0.25">
      <c r="J39" s="40">
        <v>0.63</v>
      </c>
      <c r="K39"/>
    </row>
    <row r="40" spans="10:11" x14ac:dyDescent="0.25">
      <c r="J40" s="40">
        <v>0.62</v>
      </c>
      <c r="K40"/>
    </row>
    <row r="41" spans="10:11" x14ac:dyDescent="0.25">
      <c r="J41" s="40">
        <v>0.61</v>
      </c>
      <c r="K41"/>
    </row>
    <row r="42" spans="10:11" x14ac:dyDescent="0.25">
      <c r="J42" s="40">
        <v>0.6</v>
      </c>
      <c r="K42"/>
    </row>
    <row r="43" spans="10:11" x14ac:dyDescent="0.25">
      <c r="J43" s="40">
        <v>0.59</v>
      </c>
      <c r="K43"/>
    </row>
    <row r="44" spans="10:11" x14ac:dyDescent="0.25">
      <c r="J44" s="40">
        <v>0.57999999999999996</v>
      </c>
      <c r="K44"/>
    </row>
    <row r="45" spans="10:11" x14ac:dyDescent="0.25">
      <c r="J45" s="40">
        <v>0.56999999999999995</v>
      </c>
      <c r="K45"/>
    </row>
    <row r="46" spans="10:11" x14ac:dyDescent="0.25">
      <c r="J46" s="40">
        <v>0.56000000000000005</v>
      </c>
      <c r="K46"/>
    </row>
    <row r="47" spans="10:11" x14ac:dyDescent="0.25">
      <c r="J47" s="40">
        <v>0.55000000000000004</v>
      </c>
      <c r="K47"/>
    </row>
    <row r="48" spans="10:11" x14ac:dyDescent="0.25">
      <c r="J48" s="40">
        <v>0.54</v>
      </c>
      <c r="K48"/>
    </row>
    <row r="49" spans="10:11" x14ac:dyDescent="0.25">
      <c r="J49" s="40">
        <v>0.53</v>
      </c>
      <c r="K49"/>
    </row>
    <row r="50" spans="10:11" x14ac:dyDescent="0.25">
      <c r="J50" s="40">
        <v>0.52</v>
      </c>
      <c r="K50"/>
    </row>
    <row r="51" spans="10:11" x14ac:dyDescent="0.25">
      <c r="J51" s="40">
        <v>0.51</v>
      </c>
      <c r="K5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0f24fd2-d83c-4673-a67f-3e4fbba454fc" xsi:nil="true"/>
    <lcf76f155ced4ddcb4097134ff3c332f xmlns="44a920d5-4624-419b-b533-4838acbdb76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E4290FC7692147B9D13B395E8DFFBD" ma:contentTypeVersion="16" ma:contentTypeDescription="Create a new document." ma:contentTypeScope="" ma:versionID="6bcb9876e76c161c0e30f8c36c28de3a">
  <xsd:schema xmlns:xsd="http://www.w3.org/2001/XMLSchema" xmlns:xs="http://www.w3.org/2001/XMLSchema" xmlns:p="http://schemas.microsoft.com/office/2006/metadata/properties" xmlns:ns2="44a920d5-4624-419b-b533-4838acbdb760" xmlns:ns3="e0f24fd2-d83c-4673-a67f-3e4fbba454fc" targetNamespace="http://schemas.microsoft.com/office/2006/metadata/properties" ma:root="true" ma:fieldsID="ab714e9ba2bc5bf50f75f7f4cdc463d0" ns2:_="" ns3:_="">
    <xsd:import namespace="44a920d5-4624-419b-b533-4838acbdb760"/>
    <xsd:import namespace="e0f24fd2-d83c-4673-a67f-3e4fbba454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920d5-4624-419b-b533-4838acbdb7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e7bc199-5fe5-462f-a3d8-26f806c1f49a"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f24fd2-d83c-4673-a67f-3e4fbba454f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b130c01-2729-4213-ac93-1c12c7730160}" ma:internalName="TaxCatchAll" ma:showField="CatchAllData" ma:web="e0f24fd2-d83c-4673-a67f-3e4fbba454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50063B-26F6-4228-8ED0-244CA31ACB7D}">
  <ds:schemaRefs>
    <ds:schemaRef ds:uri="http://schemas.microsoft.com/office/2006/documentManagement/types"/>
    <ds:schemaRef ds:uri="e0f24fd2-d83c-4673-a67f-3e4fbba454fc"/>
    <ds:schemaRef ds:uri="http://schemas.openxmlformats.org/package/2006/metadata/core-properties"/>
    <ds:schemaRef ds:uri="http://purl.org/dc/dcmitype/"/>
    <ds:schemaRef ds:uri="http://www.w3.org/XML/1998/namespace"/>
    <ds:schemaRef ds:uri="http://purl.org/dc/elements/1.1/"/>
    <ds:schemaRef ds:uri="44a920d5-4624-419b-b533-4838acbdb760"/>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B5176E3-9A9E-475F-9094-3376543BA6E8}">
  <ds:schemaRefs>
    <ds:schemaRef ds:uri="http://schemas.microsoft.com/sharepoint/v3/contenttype/forms"/>
  </ds:schemaRefs>
</ds:datastoreItem>
</file>

<file path=customXml/itemProps3.xml><?xml version="1.0" encoding="utf-8"?>
<ds:datastoreItem xmlns:ds="http://schemas.openxmlformats.org/officeDocument/2006/customXml" ds:itemID="{83767E3B-DF96-4EAE-93D5-4AD2101C8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a920d5-4624-419b-b533-4838acbdb760"/>
    <ds:schemaRef ds:uri="e0f24fd2-d83c-4673-a67f-3e4fbba454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Brukerveiledning</vt:lpstr>
      <vt:lpstr>Input</vt:lpstr>
      <vt:lpstr>Beregninger</vt:lpstr>
      <vt:lpstr>Unntak i egenbetalingsforskrift</vt:lpstr>
      <vt:lpstr>Finanseringskategorier</vt:lpstr>
      <vt:lpstr>List</vt:lpstr>
      <vt:lpstr>IØA</vt:lpstr>
      <vt:lpstr>Ja</vt:lpstr>
      <vt:lpstr>Nei</vt:lpstr>
      <vt:lpstr>ØA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Annette Ysland Ludvigsen</dc:creator>
  <cp:keywords/>
  <dc:description/>
  <cp:lastModifiedBy>Annette Ysland Ludvigsen</cp:lastModifiedBy>
  <cp:revision/>
  <dcterms:created xsi:type="dcterms:W3CDTF">2021-12-16T12:54:00Z</dcterms:created>
  <dcterms:modified xsi:type="dcterms:W3CDTF">2024-04-29T06:06:17Z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0x0101003DE4290FC7692147B9D13B395E8DFFBD</vt:lpwstr>
  </property>
  <property fmtid="{D5CDD505-2E9C-101B-9397-08002B2CF9AE}" pid="3" name="MediaServiceImageTags">
    <vt:lpwstr/>
  </property>
</Properties>
</file>