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51210" yWindow="-1050" windowWidth="51210" windowHeight="28800" firstSheet="1" activeTab="1"/>
  </bookViews>
  <sheets>
    <sheet name="Ikke oppdat-Veiledning" sheetId="10" r:id="rId1"/>
    <sheet name="1. Prosjektinfo" sheetId="9" r:id="rId2"/>
    <sheet name="2. Budsjettering - Direkte lønn" sheetId="8" r:id="rId3"/>
    <sheet name="3. Budsjettering - Timer" sheetId="7" r:id="rId4"/>
    <sheet name="4. Budsjettering -Drift" sheetId="6" r:id="rId5"/>
    <sheet name="5. Oppsummering Budsjett" sheetId="11" r:id="rId6"/>
    <sheet name="6. NFR-søknad" sheetId="13" r:id="rId7"/>
    <sheet name="7. Samspill BOA-BFV" sheetId="12" r:id="rId8"/>
    <sheet name="Oppslag" sheetId="3" state="hidden" r:id="rId9"/>
  </sheets>
  <definedNames>
    <definedName name="Budsjettenhet">Oppslag!$AX$3:$AX$4</definedName>
    <definedName name="Drift">Oppslag!$AY$3:$AY$8</definedName>
    <definedName name="Driftskategori">Oppslag!$AY$2:$AY$10</definedName>
    <definedName name="Fast_ansatt?">Oppslag!$BA$3:$BA$4</definedName>
    <definedName name="Priskategori">Oppslag!$S$14:$S$27</definedName>
    <definedName name="Still">Oppslag!$B$1:$B$82</definedName>
    <definedName name="Stilling">Oppslag!$B$2:$B$82</definedName>
    <definedName name="Stillingstittel">Oppslag!$B$1:$B$82</definedName>
    <definedName name="_xlnm.Print_Area" localSheetId="7">'7. Samspill BOA-BFV'!$A$2:$N$44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7" i="13" l="1"/>
  <c r="E57" i="13"/>
  <c r="D57" i="13"/>
  <c r="C57" i="13"/>
  <c r="B57" i="13"/>
  <c r="D56" i="13"/>
  <c r="E56" i="13" s="1"/>
  <c r="F56" i="13" s="1"/>
  <c r="C56" i="13"/>
  <c r="P12" i="7" l="1"/>
  <c r="F27" i="11" l="1"/>
  <c r="P11" i="7" l="1"/>
  <c r="N11" i="7"/>
  <c r="L11" i="7"/>
  <c r="J11" i="7"/>
  <c r="H11" i="7"/>
  <c r="P13" i="7"/>
  <c r="N13" i="7"/>
  <c r="L13" i="7"/>
  <c r="J13" i="7"/>
  <c r="B49" i="13"/>
  <c r="B50" i="13" s="1"/>
  <c r="W41" i="11"/>
  <c r="D32" i="11"/>
  <c r="E32" i="11"/>
  <c r="F32" i="11"/>
  <c r="C32" i="11"/>
  <c r="P51" i="11"/>
  <c r="C49" i="13" l="1"/>
  <c r="F49" i="13"/>
  <c r="F50" i="13" s="1"/>
  <c r="E49" i="13"/>
  <c r="D49" i="13"/>
  <c r="AE172" i="3"/>
  <c r="AF172" i="3" s="1"/>
  <c r="AC172" i="3"/>
  <c r="AD172" i="3" s="1"/>
  <c r="AE171" i="3"/>
  <c r="AF171" i="3" s="1"/>
  <c r="AC171" i="3"/>
  <c r="AD171" i="3" s="1"/>
  <c r="AE170" i="3"/>
  <c r="AF170" i="3" s="1"/>
  <c r="AC170" i="3"/>
  <c r="AD170" i="3" s="1"/>
  <c r="AE169" i="3"/>
  <c r="AF169" i="3" s="1"/>
  <c r="AC169" i="3"/>
  <c r="AD169" i="3" s="1"/>
  <c r="AE168" i="3"/>
  <c r="AF168" i="3" s="1"/>
  <c r="AC168" i="3"/>
  <c r="AD168" i="3" s="1"/>
  <c r="AE167" i="3"/>
  <c r="AF167" i="3" s="1"/>
  <c r="AC167" i="3"/>
  <c r="AD167" i="3" s="1"/>
  <c r="AE166" i="3"/>
  <c r="AF166" i="3" s="1"/>
  <c r="AC166" i="3"/>
  <c r="AD166" i="3" s="1"/>
  <c r="AE165" i="3"/>
  <c r="AF165" i="3" s="1"/>
  <c r="AC165" i="3"/>
  <c r="AD165" i="3" s="1"/>
  <c r="AE164" i="3"/>
  <c r="AF164" i="3" s="1"/>
  <c r="AC164" i="3"/>
  <c r="AD164" i="3" s="1"/>
  <c r="AE163" i="3"/>
  <c r="AF163" i="3" s="1"/>
  <c r="AC163" i="3"/>
  <c r="AD163" i="3" s="1"/>
  <c r="AE162" i="3"/>
  <c r="AF162" i="3" s="1"/>
  <c r="AC162" i="3"/>
  <c r="AD162" i="3" s="1"/>
  <c r="AE161" i="3"/>
  <c r="AF161" i="3" s="1"/>
  <c r="AC161" i="3"/>
  <c r="AD161" i="3" s="1"/>
  <c r="AE160" i="3"/>
  <c r="AF160" i="3" s="1"/>
  <c r="AC160" i="3"/>
  <c r="AD160" i="3" s="1"/>
  <c r="AE159" i="3"/>
  <c r="AF159" i="3" s="1"/>
  <c r="AC159" i="3"/>
  <c r="AD159" i="3" s="1"/>
  <c r="AE158" i="3"/>
  <c r="AF158" i="3" s="1"/>
  <c r="AC158" i="3"/>
  <c r="AD158" i="3" s="1"/>
  <c r="AE157" i="3"/>
  <c r="AF157" i="3" s="1"/>
  <c r="AC157" i="3"/>
  <c r="AD157" i="3" s="1"/>
  <c r="AE156" i="3"/>
  <c r="AF156" i="3" s="1"/>
  <c r="AC156" i="3"/>
  <c r="AD156" i="3" s="1"/>
  <c r="AE155" i="3"/>
  <c r="AF155" i="3" s="1"/>
  <c r="AC155" i="3"/>
  <c r="AD155" i="3" s="1"/>
  <c r="AE154" i="3"/>
  <c r="AF154" i="3" s="1"/>
  <c r="AC154" i="3"/>
  <c r="AD154" i="3" s="1"/>
  <c r="AE153" i="3"/>
  <c r="AF153" i="3" s="1"/>
  <c r="AC153" i="3"/>
  <c r="AD153" i="3" s="1"/>
  <c r="AE152" i="3"/>
  <c r="AF152" i="3" s="1"/>
  <c r="AC152" i="3"/>
  <c r="AD152" i="3" s="1"/>
  <c r="AE151" i="3"/>
  <c r="AF151" i="3" s="1"/>
  <c r="AC151" i="3"/>
  <c r="AD151" i="3" s="1"/>
  <c r="AE150" i="3"/>
  <c r="AF150" i="3" s="1"/>
  <c r="AC150" i="3"/>
  <c r="AD150" i="3" s="1"/>
  <c r="AE149" i="3"/>
  <c r="AF149" i="3" s="1"/>
  <c r="AC149" i="3"/>
  <c r="AD149" i="3" s="1"/>
  <c r="AE148" i="3"/>
  <c r="AF148" i="3" s="1"/>
  <c r="AC148" i="3"/>
  <c r="AD148" i="3" s="1"/>
  <c r="AE147" i="3"/>
  <c r="AF147" i="3" s="1"/>
  <c r="AC147" i="3"/>
  <c r="AD147" i="3" s="1"/>
  <c r="AE146" i="3"/>
  <c r="AF146" i="3" s="1"/>
  <c r="AC146" i="3"/>
  <c r="AD146" i="3" s="1"/>
  <c r="AE145" i="3"/>
  <c r="AF145" i="3" s="1"/>
  <c r="AC145" i="3"/>
  <c r="AD145" i="3" s="1"/>
  <c r="AE144" i="3"/>
  <c r="AF144" i="3" s="1"/>
  <c r="AC144" i="3"/>
  <c r="AD144" i="3" s="1"/>
  <c r="AE143" i="3"/>
  <c r="AF143" i="3" s="1"/>
  <c r="AC143" i="3"/>
  <c r="AD143" i="3" s="1"/>
  <c r="AE142" i="3"/>
  <c r="AF142" i="3" s="1"/>
  <c r="AC142" i="3"/>
  <c r="AD142" i="3" s="1"/>
  <c r="AE141" i="3"/>
  <c r="AF141" i="3" s="1"/>
  <c r="AC141" i="3"/>
  <c r="AD141" i="3" s="1"/>
  <c r="AE140" i="3"/>
  <c r="AF140" i="3" s="1"/>
  <c r="AC140" i="3"/>
  <c r="AD140" i="3" s="1"/>
  <c r="AE139" i="3"/>
  <c r="AF139" i="3" s="1"/>
  <c r="AC139" i="3"/>
  <c r="AD139" i="3" s="1"/>
  <c r="AE138" i="3"/>
  <c r="AF138" i="3" s="1"/>
  <c r="AC138" i="3"/>
  <c r="AD138" i="3" s="1"/>
  <c r="AE137" i="3"/>
  <c r="AF137" i="3" s="1"/>
  <c r="AC137" i="3"/>
  <c r="AD137" i="3" s="1"/>
  <c r="AE136" i="3"/>
  <c r="AF136" i="3" s="1"/>
  <c r="AC136" i="3"/>
  <c r="AD136" i="3" s="1"/>
  <c r="AE135" i="3"/>
  <c r="AF135" i="3" s="1"/>
  <c r="AC135" i="3"/>
  <c r="AD135" i="3" s="1"/>
  <c r="AE134" i="3"/>
  <c r="AF134" i="3" s="1"/>
  <c r="AD134" i="3"/>
  <c r="AC134" i="3"/>
  <c r="AE133" i="3"/>
  <c r="AF133" i="3" s="1"/>
  <c r="AC133" i="3"/>
  <c r="AD133" i="3" s="1"/>
  <c r="AE132" i="3"/>
  <c r="AF132" i="3" s="1"/>
  <c r="AC132" i="3"/>
  <c r="AD132" i="3" s="1"/>
  <c r="AE131" i="3"/>
  <c r="AF131" i="3" s="1"/>
  <c r="AC131" i="3"/>
  <c r="AD131" i="3" s="1"/>
  <c r="AE130" i="3"/>
  <c r="AF130" i="3" s="1"/>
  <c r="AC130" i="3"/>
  <c r="AD130" i="3" s="1"/>
  <c r="AE129" i="3"/>
  <c r="AF129" i="3" s="1"/>
  <c r="AC129" i="3"/>
  <c r="AD129" i="3" s="1"/>
  <c r="AE128" i="3"/>
  <c r="AF128" i="3" s="1"/>
  <c r="AC128" i="3"/>
  <c r="AD128" i="3" s="1"/>
  <c r="AE127" i="3"/>
  <c r="AF127" i="3" s="1"/>
  <c r="AC127" i="3"/>
  <c r="AD127" i="3" s="1"/>
  <c r="AE126" i="3"/>
  <c r="AF126" i="3" s="1"/>
  <c r="AC126" i="3"/>
  <c r="AD126" i="3" s="1"/>
  <c r="AE125" i="3"/>
  <c r="AF125" i="3" s="1"/>
  <c r="AC125" i="3"/>
  <c r="AD125" i="3" s="1"/>
  <c r="AE124" i="3"/>
  <c r="AF124" i="3" s="1"/>
  <c r="AC124" i="3"/>
  <c r="AD124" i="3" s="1"/>
  <c r="AE123" i="3"/>
  <c r="AF123" i="3" s="1"/>
  <c r="AD123" i="3"/>
  <c r="AC123" i="3"/>
  <c r="AE122" i="3"/>
  <c r="AF122" i="3" s="1"/>
  <c r="AC122" i="3"/>
  <c r="AD122" i="3" s="1"/>
  <c r="AE121" i="3"/>
  <c r="AF121" i="3" s="1"/>
  <c r="AC121" i="3"/>
  <c r="AD121" i="3" s="1"/>
  <c r="AE120" i="3"/>
  <c r="AF120" i="3" s="1"/>
  <c r="AC120" i="3"/>
  <c r="AD120" i="3" s="1"/>
  <c r="AE119" i="3"/>
  <c r="AF119" i="3" s="1"/>
  <c r="AC119" i="3"/>
  <c r="AD119" i="3" s="1"/>
  <c r="AE118" i="3"/>
  <c r="AF118" i="3" s="1"/>
  <c r="AC118" i="3"/>
  <c r="AD118" i="3" s="1"/>
  <c r="AE117" i="3"/>
  <c r="AF117" i="3" s="1"/>
  <c r="AC117" i="3"/>
  <c r="AD117" i="3" s="1"/>
  <c r="AE116" i="3"/>
  <c r="AF116" i="3" s="1"/>
  <c r="AC116" i="3"/>
  <c r="AD116" i="3" s="1"/>
  <c r="AE115" i="3"/>
  <c r="AF115" i="3" s="1"/>
  <c r="AC115" i="3"/>
  <c r="AD115" i="3" s="1"/>
  <c r="AE114" i="3"/>
  <c r="AF114" i="3" s="1"/>
  <c r="AC114" i="3"/>
  <c r="AD114" i="3" s="1"/>
  <c r="AE113" i="3"/>
  <c r="AF113" i="3" s="1"/>
  <c r="AC113" i="3"/>
  <c r="AD113" i="3" s="1"/>
  <c r="AE112" i="3"/>
  <c r="AF112" i="3" s="1"/>
  <c r="AC112" i="3"/>
  <c r="AD112" i="3" s="1"/>
  <c r="AE111" i="3"/>
  <c r="AF111" i="3" s="1"/>
  <c r="AC111" i="3"/>
  <c r="AD111" i="3" s="1"/>
  <c r="AE110" i="3"/>
  <c r="AF110" i="3" s="1"/>
  <c r="AD110" i="3"/>
  <c r="AC110" i="3"/>
  <c r="AE109" i="3"/>
  <c r="AF109" i="3" s="1"/>
  <c r="AC109" i="3"/>
  <c r="AD109" i="3" s="1"/>
  <c r="AE108" i="3"/>
  <c r="AF108" i="3" s="1"/>
  <c r="AC108" i="3"/>
  <c r="AD108" i="3" s="1"/>
  <c r="AE107" i="3"/>
  <c r="AF107" i="3" s="1"/>
  <c r="AC107" i="3"/>
  <c r="AD107" i="3" s="1"/>
  <c r="AE106" i="3"/>
  <c r="AF106" i="3" s="1"/>
  <c r="AC106" i="3"/>
  <c r="AD106" i="3" s="1"/>
  <c r="AE105" i="3"/>
  <c r="AF105" i="3" s="1"/>
  <c r="AC105" i="3"/>
  <c r="AD105" i="3" s="1"/>
  <c r="AE104" i="3"/>
  <c r="AF104" i="3" s="1"/>
  <c r="AC104" i="3"/>
  <c r="AD104" i="3" s="1"/>
  <c r="AE103" i="3"/>
  <c r="AF103" i="3" s="1"/>
  <c r="AC103" i="3"/>
  <c r="AD103" i="3" s="1"/>
  <c r="AE102" i="3"/>
  <c r="AF102" i="3" s="1"/>
  <c r="AC102" i="3"/>
  <c r="AD102" i="3" s="1"/>
  <c r="AE101" i="3"/>
  <c r="AF101" i="3" s="1"/>
  <c r="AC101" i="3"/>
  <c r="AD101" i="3" s="1"/>
  <c r="AE100" i="3"/>
  <c r="AF100" i="3" s="1"/>
  <c r="AC100" i="3"/>
  <c r="AD100" i="3" s="1"/>
  <c r="AE99" i="3"/>
  <c r="AF99" i="3" s="1"/>
  <c r="AC99" i="3"/>
  <c r="AD99" i="3" s="1"/>
  <c r="AE98" i="3"/>
  <c r="AF98" i="3" s="1"/>
  <c r="AC98" i="3"/>
  <c r="AD98" i="3" s="1"/>
  <c r="AE97" i="3"/>
  <c r="AF97" i="3" s="1"/>
  <c r="AC97" i="3"/>
  <c r="AD97" i="3" s="1"/>
  <c r="AE96" i="3"/>
  <c r="AF96" i="3" s="1"/>
  <c r="AC96" i="3"/>
  <c r="AD96" i="3" s="1"/>
  <c r="AE95" i="3"/>
  <c r="AF95" i="3" s="1"/>
  <c r="AC95" i="3"/>
  <c r="AD95" i="3" s="1"/>
  <c r="AE94" i="3"/>
  <c r="AF94" i="3" s="1"/>
  <c r="AC94" i="3"/>
  <c r="AD94" i="3" s="1"/>
  <c r="AE93" i="3"/>
  <c r="AF93" i="3" s="1"/>
  <c r="AC93" i="3"/>
  <c r="AD93" i="3" s="1"/>
  <c r="AE92" i="3"/>
  <c r="AF92" i="3" s="1"/>
  <c r="AC92" i="3"/>
  <c r="AD92" i="3" s="1"/>
  <c r="AE91" i="3"/>
  <c r="AF91" i="3" s="1"/>
  <c r="AD91" i="3"/>
  <c r="AC91" i="3"/>
  <c r="AE90" i="3"/>
  <c r="AF90" i="3" s="1"/>
  <c r="AC90" i="3"/>
  <c r="AD90" i="3" s="1"/>
  <c r="AE89" i="3"/>
  <c r="AF89" i="3" s="1"/>
  <c r="AC89" i="3"/>
  <c r="AD89" i="3" s="1"/>
  <c r="AF88" i="3"/>
  <c r="AD88" i="3"/>
  <c r="AF87" i="3"/>
  <c r="AD87" i="3"/>
  <c r="AF86" i="3"/>
  <c r="AD86" i="3"/>
  <c r="AF85" i="3"/>
  <c r="AD85" i="3"/>
  <c r="AF84" i="3"/>
  <c r="AD84" i="3"/>
  <c r="AF83" i="3"/>
  <c r="AD83" i="3"/>
  <c r="AF82" i="3"/>
  <c r="AD82" i="3"/>
  <c r="AF81" i="3"/>
  <c r="AD81" i="3"/>
  <c r="AF80" i="3"/>
  <c r="AD80" i="3"/>
  <c r="AF79" i="3"/>
  <c r="AD79" i="3"/>
  <c r="AF78" i="3"/>
  <c r="AD78" i="3"/>
  <c r="AF77" i="3"/>
  <c r="AD77" i="3"/>
  <c r="AF76" i="3"/>
  <c r="AD76" i="3"/>
  <c r="AF75" i="3"/>
  <c r="AD75" i="3"/>
  <c r="AF74" i="3"/>
  <c r="AD74" i="3"/>
  <c r="AF73" i="3"/>
  <c r="AD73" i="3"/>
  <c r="AF72" i="3"/>
  <c r="AD72" i="3"/>
  <c r="AF71" i="3"/>
  <c r="AD71" i="3"/>
  <c r="AF70" i="3"/>
  <c r="AD70" i="3"/>
  <c r="AF69" i="3"/>
  <c r="AD69" i="3"/>
  <c r="AF68" i="3"/>
  <c r="AD68" i="3"/>
  <c r="AF67" i="3"/>
  <c r="AD67" i="3"/>
  <c r="AF66" i="3"/>
  <c r="AD66" i="3"/>
  <c r="AF65" i="3"/>
  <c r="AD65" i="3"/>
  <c r="AF64" i="3"/>
  <c r="AD64" i="3"/>
  <c r="AF63" i="3"/>
  <c r="AD63" i="3"/>
  <c r="AF62" i="3"/>
  <c r="AD62" i="3"/>
  <c r="AF61" i="3"/>
  <c r="AD61" i="3"/>
  <c r="AF60" i="3"/>
  <c r="AD60" i="3"/>
  <c r="AF59" i="3"/>
  <c r="AD59" i="3"/>
  <c r="AF58" i="3"/>
  <c r="AD58" i="3"/>
  <c r="AF57" i="3"/>
  <c r="AD57" i="3"/>
  <c r="AF56" i="3"/>
  <c r="AD56" i="3"/>
  <c r="AF55" i="3"/>
  <c r="AD55" i="3"/>
  <c r="AF54" i="3"/>
  <c r="AD54" i="3"/>
  <c r="AF53" i="3"/>
  <c r="AD53" i="3"/>
  <c r="AF52" i="3"/>
  <c r="AD52" i="3"/>
  <c r="AF51" i="3"/>
  <c r="AD51" i="3"/>
  <c r="AF50" i="3"/>
  <c r="AD50" i="3"/>
  <c r="AF49" i="3"/>
  <c r="AD49" i="3"/>
  <c r="AF48" i="3"/>
  <c r="AD48" i="3"/>
  <c r="AF47" i="3"/>
  <c r="AD47" i="3"/>
  <c r="AF46" i="3"/>
  <c r="AD46" i="3"/>
  <c r="AF45" i="3"/>
  <c r="AD45" i="3"/>
  <c r="AF44" i="3"/>
  <c r="AD44" i="3"/>
  <c r="AF43" i="3"/>
  <c r="AD43" i="3"/>
  <c r="AF42" i="3"/>
  <c r="AD42" i="3"/>
  <c r="AF41" i="3"/>
  <c r="AD41" i="3"/>
  <c r="AF40" i="3"/>
  <c r="AD40" i="3"/>
  <c r="AF39" i="3"/>
  <c r="AD39" i="3"/>
  <c r="AF38" i="3"/>
  <c r="AD38" i="3"/>
  <c r="AF37" i="3"/>
  <c r="AD37" i="3"/>
  <c r="AF36" i="3"/>
  <c r="AD36" i="3"/>
  <c r="AF35" i="3"/>
  <c r="AD35" i="3"/>
  <c r="AF34" i="3"/>
  <c r="AD34" i="3"/>
  <c r="AF33" i="3"/>
  <c r="AD33" i="3"/>
  <c r="AF32" i="3"/>
  <c r="AD32" i="3"/>
  <c r="AF31" i="3"/>
  <c r="AD31" i="3"/>
  <c r="AF30" i="3"/>
  <c r="AD30" i="3"/>
  <c r="AF29" i="3"/>
  <c r="AD29" i="3"/>
  <c r="AF28" i="3"/>
  <c r="AD28" i="3"/>
  <c r="AF27" i="3"/>
  <c r="AD27" i="3"/>
  <c r="W27" i="3"/>
  <c r="Z11" i="3" s="1"/>
  <c r="U27" i="3"/>
  <c r="V27" i="3" s="1"/>
  <c r="U11" i="3" s="1"/>
  <c r="AF26" i="3"/>
  <c r="AD26" i="3"/>
  <c r="W26" i="3"/>
  <c r="U26" i="3"/>
  <c r="V26" i="3" s="1"/>
  <c r="U10" i="3" s="1"/>
  <c r="AF25" i="3"/>
  <c r="AD25" i="3"/>
  <c r="W25" i="3"/>
  <c r="Z9" i="3" s="1"/>
  <c r="U25" i="3"/>
  <c r="V25" i="3" s="1"/>
  <c r="U9" i="3" s="1"/>
  <c r="AF24" i="3"/>
  <c r="AD24" i="3"/>
  <c r="W24" i="3"/>
  <c r="Z8" i="3" s="1"/>
  <c r="U24" i="3"/>
  <c r="V24" i="3" s="1"/>
  <c r="U8" i="3" s="1"/>
  <c r="AF23" i="3"/>
  <c r="AD23" i="3"/>
  <c r="W23" i="3"/>
  <c r="Z7" i="3" s="1"/>
  <c r="U23" i="3"/>
  <c r="V23" i="3" s="1"/>
  <c r="U7" i="3" s="1"/>
  <c r="AF22" i="3"/>
  <c r="AD22" i="3"/>
  <c r="W22" i="3"/>
  <c r="Z6" i="3" s="1"/>
  <c r="U22" i="3"/>
  <c r="V22" i="3" s="1"/>
  <c r="U6" i="3" s="1"/>
  <c r="AF21" i="3"/>
  <c r="AD21" i="3"/>
  <c r="W21" i="3"/>
  <c r="Z5" i="3" s="1"/>
  <c r="V21" i="3"/>
  <c r="U5" i="3" s="1"/>
  <c r="AF20" i="3"/>
  <c r="AD20" i="3"/>
  <c r="U20" i="3"/>
  <c r="V20" i="3" s="1"/>
  <c r="X11" i="3" s="1"/>
  <c r="AF19" i="3"/>
  <c r="AD19" i="3"/>
  <c r="U19" i="3"/>
  <c r="V19" i="3" s="1"/>
  <c r="X10" i="3" s="1"/>
  <c r="AF18" i="3"/>
  <c r="AD18" i="3"/>
  <c r="U18" i="3"/>
  <c r="V18" i="3" s="1"/>
  <c r="X9" i="3" s="1"/>
  <c r="AF17" i="3"/>
  <c r="AD17" i="3"/>
  <c r="U17" i="3"/>
  <c r="V17" i="3" s="1"/>
  <c r="X8" i="3" s="1"/>
  <c r="AF16" i="3"/>
  <c r="AD16" i="3"/>
  <c r="U16" i="3"/>
  <c r="V16" i="3" s="1"/>
  <c r="X7" i="3" s="1"/>
  <c r="AF15" i="3"/>
  <c r="AD15" i="3"/>
  <c r="U15" i="3"/>
  <c r="V15" i="3" s="1"/>
  <c r="X6" i="3" s="1"/>
  <c r="AF14" i="3"/>
  <c r="AD14" i="3"/>
  <c r="V14" i="3"/>
  <c r="X5" i="3" s="1"/>
  <c r="AF13" i="3"/>
  <c r="AD13" i="3"/>
  <c r="AF12" i="3"/>
  <c r="AD12" i="3"/>
  <c r="AF11" i="3"/>
  <c r="AD11" i="3"/>
  <c r="W11" i="3"/>
  <c r="T11" i="3"/>
  <c r="AF10" i="3"/>
  <c r="AD10" i="3"/>
  <c r="Z10" i="3"/>
  <c r="W10" i="3"/>
  <c r="T10" i="3"/>
  <c r="AF9" i="3"/>
  <c r="AD9" i="3"/>
  <c r="W9" i="3"/>
  <c r="T9" i="3"/>
  <c r="AF8" i="3"/>
  <c r="AD8" i="3"/>
  <c r="W8" i="3"/>
  <c r="T8" i="3"/>
  <c r="AF7" i="3"/>
  <c r="AD7" i="3"/>
  <c r="W7" i="3"/>
  <c r="T7" i="3"/>
  <c r="AF6" i="3"/>
  <c r="AD6" i="3"/>
  <c r="W6" i="3"/>
  <c r="T6" i="3"/>
  <c r="AF5" i="3"/>
  <c r="AD5" i="3"/>
  <c r="W5" i="3"/>
  <c r="T5" i="3"/>
  <c r="I187" i="3"/>
  <c r="K187" i="3" s="1"/>
  <c r="L187" i="3" s="1"/>
  <c r="M187" i="3" s="1"/>
  <c r="N187" i="3" s="1"/>
  <c r="I186" i="3"/>
  <c r="K186" i="3" s="1"/>
  <c r="L186" i="3" s="1"/>
  <c r="M186" i="3" s="1"/>
  <c r="N186" i="3" s="1"/>
  <c r="I185" i="3"/>
  <c r="K185" i="3" s="1"/>
  <c r="L185" i="3" s="1"/>
  <c r="M185" i="3" s="1"/>
  <c r="N185" i="3" s="1"/>
  <c r="N184" i="3"/>
  <c r="I184" i="3"/>
  <c r="K184" i="3" s="1"/>
  <c r="L184" i="3" s="1"/>
  <c r="M184" i="3" s="1"/>
  <c r="I183" i="3"/>
  <c r="K183" i="3" s="1"/>
  <c r="L183" i="3" s="1"/>
  <c r="M183" i="3" s="1"/>
  <c r="N183" i="3" s="1"/>
  <c r="I182" i="3"/>
  <c r="K182" i="3" s="1"/>
  <c r="L182" i="3" s="1"/>
  <c r="M182" i="3" s="1"/>
  <c r="N182" i="3" s="1"/>
  <c r="I181" i="3"/>
  <c r="K181" i="3" s="1"/>
  <c r="L181" i="3" s="1"/>
  <c r="M181" i="3" s="1"/>
  <c r="N181" i="3" s="1"/>
  <c r="I180" i="3"/>
  <c r="K180" i="3" s="1"/>
  <c r="L180" i="3" s="1"/>
  <c r="M180" i="3" s="1"/>
  <c r="N180" i="3" s="1"/>
  <c r="I179" i="3"/>
  <c r="K179" i="3" s="1"/>
  <c r="L179" i="3" s="1"/>
  <c r="M179" i="3" s="1"/>
  <c r="N179" i="3" s="1"/>
  <c r="I178" i="3"/>
  <c r="K178" i="3" s="1"/>
  <c r="L178" i="3" s="1"/>
  <c r="M178" i="3" s="1"/>
  <c r="N178" i="3" s="1"/>
  <c r="I177" i="3"/>
  <c r="K177" i="3" s="1"/>
  <c r="L177" i="3" s="1"/>
  <c r="M177" i="3" s="1"/>
  <c r="N177" i="3" s="1"/>
  <c r="I176" i="3"/>
  <c r="K176" i="3" s="1"/>
  <c r="L176" i="3" s="1"/>
  <c r="M176" i="3" s="1"/>
  <c r="N176" i="3" s="1"/>
  <c r="I175" i="3"/>
  <c r="K175" i="3" s="1"/>
  <c r="L175" i="3" s="1"/>
  <c r="M175" i="3" s="1"/>
  <c r="N175" i="3" s="1"/>
  <c r="I174" i="3"/>
  <c r="K174" i="3" s="1"/>
  <c r="L174" i="3" s="1"/>
  <c r="M174" i="3" s="1"/>
  <c r="N174" i="3" s="1"/>
  <c r="I173" i="3"/>
  <c r="K173" i="3" s="1"/>
  <c r="L173" i="3" s="1"/>
  <c r="M173" i="3" s="1"/>
  <c r="N173" i="3" s="1"/>
  <c r="I172" i="3"/>
  <c r="K172" i="3" s="1"/>
  <c r="L172" i="3" s="1"/>
  <c r="M172" i="3" s="1"/>
  <c r="N172" i="3" s="1"/>
  <c r="K171" i="3"/>
  <c r="L171" i="3" s="1"/>
  <c r="M171" i="3" s="1"/>
  <c r="N171" i="3" s="1"/>
  <c r="I171" i="3"/>
  <c r="I170" i="3"/>
  <c r="K170" i="3" s="1"/>
  <c r="L170" i="3" s="1"/>
  <c r="M170" i="3" s="1"/>
  <c r="N170" i="3" s="1"/>
  <c r="I169" i="3"/>
  <c r="K169" i="3" s="1"/>
  <c r="L169" i="3" s="1"/>
  <c r="M169" i="3" s="1"/>
  <c r="N169" i="3" s="1"/>
  <c r="I168" i="3"/>
  <c r="K168" i="3" s="1"/>
  <c r="L168" i="3" s="1"/>
  <c r="M168" i="3" s="1"/>
  <c r="N168" i="3" s="1"/>
  <c r="I167" i="3"/>
  <c r="K167" i="3" s="1"/>
  <c r="L167" i="3" s="1"/>
  <c r="M167" i="3" s="1"/>
  <c r="N167" i="3" s="1"/>
  <c r="I166" i="3"/>
  <c r="K166" i="3" s="1"/>
  <c r="L166" i="3" s="1"/>
  <c r="M166" i="3" s="1"/>
  <c r="N166" i="3" s="1"/>
  <c r="I165" i="3"/>
  <c r="K165" i="3" s="1"/>
  <c r="L165" i="3" s="1"/>
  <c r="M165" i="3" s="1"/>
  <c r="N165" i="3" s="1"/>
  <c r="I164" i="3"/>
  <c r="K164" i="3" s="1"/>
  <c r="L164" i="3" s="1"/>
  <c r="M164" i="3" s="1"/>
  <c r="N164" i="3" s="1"/>
  <c r="K163" i="3"/>
  <c r="L163" i="3" s="1"/>
  <c r="M163" i="3" s="1"/>
  <c r="N163" i="3" s="1"/>
  <c r="I163" i="3"/>
  <c r="I162" i="3"/>
  <c r="K162" i="3" s="1"/>
  <c r="L162" i="3" s="1"/>
  <c r="M162" i="3" s="1"/>
  <c r="N162" i="3" s="1"/>
  <c r="M161" i="3"/>
  <c r="N161" i="3" s="1"/>
  <c r="I161" i="3"/>
  <c r="K161" i="3" s="1"/>
  <c r="L161" i="3" s="1"/>
  <c r="I160" i="3"/>
  <c r="K160" i="3" s="1"/>
  <c r="L160" i="3" s="1"/>
  <c r="M160" i="3" s="1"/>
  <c r="N160" i="3" s="1"/>
  <c r="I159" i="3"/>
  <c r="K159" i="3" s="1"/>
  <c r="L159" i="3" s="1"/>
  <c r="M159" i="3" s="1"/>
  <c r="N159" i="3" s="1"/>
  <c r="I158" i="3"/>
  <c r="K158" i="3" s="1"/>
  <c r="L158" i="3" s="1"/>
  <c r="M158" i="3" s="1"/>
  <c r="N158" i="3" s="1"/>
  <c r="I157" i="3"/>
  <c r="K157" i="3" s="1"/>
  <c r="L157" i="3" s="1"/>
  <c r="M157" i="3" s="1"/>
  <c r="N157" i="3" s="1"/>
  <c r="I156" i="3"/>
  <c r="K156" i="3" s="1"/>
  <c r="L156" i="3" s="1"/>
  <c r="M156" i="3" s="1"/>
  <c r="N156" i="3" s="1"/>
  <c r="I155" i="3"/>
  <c r="K155" i="3" s="1"/>
  <c r="L155" i="3" s="1"/>
  <c r="M155" i="3" s="1"/>
  <c r="N155" i="3" s="1"/>
  <c r="I154" i="3"/>
  <c r="K154" i="3" s="1"/>
  <c r="L154" i="3" s="1"/>
  <c r="M154" i="3" s="1"/>
  <c r="N154" i="3" s="1"/>
  <c r="I153" i="3"/>
  <c r="K153" i="3" s="1"/>
  <c r="L153" i="3" s="1"/>
  <c r="M153" i="3" s="1"/>
  <c r="N153" i="3" s="1"/>
  <c r="I152" i="3"/>
  <c r="K152" i="3" s="1"/>
  <c r="L152" i="3" s="1"/>
  <c r="M152" i="3" s="1"/>
  <c r="N152" i="3" s="1"/>
  <c r="I151" i="3"/>
  <c r="K151" i="3" s="1"/>
  <c r="L151" i="3" s="1"/>
  <c r="M151" i="3" s="1"/>
  <c r="N151" i="3" s="1"/>
  <c r="I150" i="3"/>
  <c r="K150" i="3" s="1"/>
  <c r="L150" i="3" s="1"/>
  <c r="M150" i="3" s="1"/>
  <c r="N150" i="3" s="1"/>
  <c r="I149" i="3"/>
  <c r="K149" i="3" s="1"/>
  <c r="L149" i="3" s="1"/>
  <c r="M149" i="3" s="1"/>
  <c r="N149" i="3" s="1"/>
  <c r="I148" i="3"/>
  <c r="K148" i="3" s="1"/>
  <c r="L148" i="3" s="1"/>
  <c r="M148" i="3" s="1"/>
  <c r="N148" i="3" s="1"/>
  <c r="I147" i="3"/>
  <c r="K147" i="3" s="1"/>
  <c r="L147" i="3" s="1"/>
  <c r="M147" i="3" s="1"/>
  <c r="N147" i="3" s="1"/>
  <c r="I146" i="3"/>
  <c r="K146" i="3" s="1"/>
  <c r="L146" i="3" s="1"/>
  <c r="M146" i="3" s="1"/>
  <c r="N146" i="3" s="1"/>
  <c r="M145" i="3"/>
  <c r="N145" i="3" s="1"/>
  <c r="I145" i="3"/>
  <c r="K145" i="3" s="1"/>
  <c r="L145" i="3" s="1"/>
  <c r="I144" i="3"/>
  <c r="K144" i="3" s="1"/>
  <c r="L144" i="3" s="1"/>
  <c r="M144" i="3" s="1"/>
  <c r="N144" i="3" s="1"/>
  <c r="I143" i="3"/>
  <c r="K143" i="3" s="1"/>
  <c r="L143" i="3" s="1"/>
  <c r="M143" i="3" s="1"/>
  <c r="N143" i="3" s="1"/>
  <c r="I142" i="3"/>
  <c r="K142" i="3" s="1"/>
  <c r="L142" i="3" s="1"/>
  <c r="M142" i="3" s="1"/>
  <c r="N142" i="3" s="1"/>
  <c r="I141" i="3"/>
  <c r="K141" i="3" s="1"/>
  <c r="L141" i="3" s="1"/>
  <c r="M141" i="3" s="1"/>
  <c r="N141" i="3" s="1"/>
  <c r="I140" i="3"/>
  <c r="K140" i="3" s="1"/>
  <c r="L140" i="3" s="1"/>
  <c r="M140" i="3" s="1"/>
  <c r="N140" i="3" s="1"/>
  <c r="I139" i="3"/>
  <c r="K139" i="3" s="1"/>
  <c r="L139" i="3" s="1"/>
  <c r="M139" i="3" s="1"/>
  <c r="N139" i="3" s="1"/>
  <c r="I138" i="3"/>
  <c r="K138" i="3" s="1"/>
  <c r="L138" i="3" s="1"/>
  <c r="M138" i="3" s="1"/>
  <c r="N138" i="3" s="1"/>
  <c r="M137" i="3"/>
  <c r="N137" i="3" s="1"/>
  <c r="I137" i="3"/>
  <c r="K137" i="3" s="1"/>
  <c r="L137" i="3" s="1"/>
  <c r="I136" i="3"/>
  <c r="K136" i="3" s="1"/>
  <c r="L136" i="3" s="1"/>
  <c r="M136" i="3" s="1"/>
  <c r="N136" i="3" s="1"/>
  <c r="K135" i="3"/>
  <c r="L135" i="3" s="1"/>
  <c r="M135" i="3" s="1"/>
  <c r="N135" i="3" s="1"/>
  <c r="I135" i="3"/>
  <c r="I134" i="3"/>
  <c r="K134" i="3" s="1"/>
  <c r="L134" i="3" s="1"/>
  <c r="M134" i="3" s="1"/>
  <c r="N134" i="3" s="1"/>
  <c r="I133" i="3"/>
  <c r="K133" i="3" s="1"/>
  <c r="L133" i="3" s="1"/>
  <c r="M133" i="3" s="1"/>
  <c r="N133" i="3" s="1"/>
  <c r="I132" i="3"/>
  <c r="K132" i="3" s="1"/>
  <c r="L132" i="3" s="1"/>
  <c r="M132" i="3" s="1"/>
  <c r="N132" i="3" s="1"/>
  <c r="I131" i="3"/>
  <c r="K131" i="3" s="1"/>
  <c r="L131" i="3" s="1"/>
  <c r="M131" i="3" s="1"/>
  <c r="N131" i="3" s="1"/>
  <c r="I130" i="3"/>
  <c r="K130" i="3" s="1"/>
  <c r="L130" i="3" s="1"/>
  <c r="M130" i="3" s="1"/>
  <c r="N130" i="3" s="1"/>
  <c r="I129" i="3"/>
  <c r="K129" i="3" s="1"/>
  <c r="L129" i="3" s="1"/>
  <c r="M129" i="3" s="1"/>
  <c r="N129" i="3" s="1"/>
  <c r="I128" i="3"/>
  <c r="K128" i="3" s="1"/>
  <c r="L128" i="3" s="1"/>
  <c r="M128" i="3" s="1"/>
  <c r="N128" i="3" s="1"/>
  <c r="K127" i="3"/>
  <c r="L127" i="3" s="1"/>
  <c r="M127" i="3" s="1"/>
  <c r="N127" i="3" s="1"/>
  <c r="I127" i="3"/>
  <c r="I126" i="3"/>
  <c r="K126" i="3" s="1"/>
  <c r="L126" i="3" s="1"/>
  <c r="M126" i="3" s="1"/>
  <c r="N126" i="3" s="1"/>
  <c r="I125" i="3"/>
  <c r="K125" i="3" s="1"/>
  <c r="L125" i="3" s="1"/>
  <c r="M125" i="3" s="1"/>
  <c r="N125" i="3" s="1"/>
  <c r="I124" i="3"/>
  <c r="K124" i="3" s="1"/>
  <c r="L124" i="3" s="1"/>
  <c r="M124" i="3" s="1"/>
  <c r="N124" i="3" s="1"/>
  <c r="I123" i="3"/>
  <c r="K123" i="3" s="1"/>
  <c r="L123" i="3" s="1"/>
  <c r="M123" i="3" s="1"/>
  <c r="N123" i="3" s="1"/>
  <c r="I122" i="3"/>
  <c r="K122" i="3" s="1"/>
  <c r="L122" i="3" s="1"/>
  <c r="M122" i="3" s="1"/>
  <c r="N122" i="3" s="1"/>
  <c r="I121" i="3"/>
  <c r="K121" i="3" s="1"/>
  <c r="L121" i="3" s="1"/>
  <c r="M121" i="3" s="1"/>
  <c r="N121" i="3" s="1"/>
  <c r="I120" i="3"/>
  <c r="K120" i="3" s="1"/>
  <c r="L120" i="3" s="1"/>
  <c r="M120" i="3" s="1"/>
  <c r="N120" i="3" s="1"/>
  <c r="K119" i="3"/>
  <c r="L119" i="3" s="1"/>
  <c r="M119" i="3" s="1"/>
  <c r="N119" i="3" s="1"/>
  <c r="I119" i="3"/>
  <c r="I118" i="3"/>
  <c r="K118" i="3" s="1"/>
  <c r="L118" i="3" s="1"/>
  <c r="M118" i="3" s="1"/>
  <c r="N118" i="3" s="1"/>
  <c r="I117" i="3"/>
  <c r="K117" i="3" s="1"/>
  <c r="L117" i="3" s="1"/>
  <c r="M117" i="3" s="1"/>
  <c r="N117" i="3" s="1"/>
  <c r="I116" i="3"/>
  <c r="K116" i="3" s="1"/>
  <c r="L116" i="3" s="1"/>
  <c r="M116" i="3" s="1"/>
  <c r="N116" i="3" s="1"/>
  <c r="I115" i="3"/>
  <c r="K115" i="3" s="1"/>
  <c r="L115" i="3" s="1"/>
  <c r="M115" i="3" s="1"/>
  <c r="N115" i="3" s="1"/>
  <c r="I114" i="3"/>
  <c r="K114" i="3" s="1"/>
  <c r="L114" i="3" s="1"/>
  <c r="M114" i="3" s="1"/>
  <c r="N114" i="3" s="1"/>
  <c r="I113" i="3"/>
  <c r="K113" i="3" s="1"/>
  <c r="L113" i="3" s="1"/>
  <c r="M113" i="3" s="1"/>
  <c r="N113" i="3" s="1"/>
  <c r="N112" i="3"/>
  <c r="I112" i="3"/>
  <c r="K112" i="3" s="1"/>
  <c r="L112" i="3" s="1"/>
  <c r="M112" i="3" s="1"/>
  <c r="I111" i="3"/>
  <c r="K111" i="3" s="1"/>
  <c r="L111" i="3" s="1"/>
  <c r="M111" i="3" s="1"/>
  <c r="N111" i="3" s="1"/>
  <c r="I110" i="3"/>
  <c r="K110" i="3" s="1"/>
  <c r="L110" i="3" s="1"/>
  <c r="M110" i="3" s="1"/>
  <c r="N110" i="3" s="1"/>
  <c r="I109" i="3"/>
  <c r="K109" i="3" s="1"/>
  <c r="L109" i="3" s="1"/>
  <c r="M109" i="3" s="1"/>
  <c r="N109" i="3" s="1"/>
  <c r="I108" i="3"/>
  <c r="K108" i="3" s="1"/>
  <c r="L108" i="3" s="1"/>
  <c r="M108" i="3" s="1"/>
  <c r="N108" i="3" s="1"/>
  <c r="I107" i="3"/>
  <c r="K107" i="3" s="1"/>
  <c r="L107" i="3" s="1"/>
  <c r="M107" i="3" s="1"/>
  <c r="N107" i="3" s="1"/>
  <c r="I106" i="3"/>
  <c r="K106" i="3" s="1"/>
  <c r="L106" i="3" s="1"/>
  <c r="M106" i="3" s="1"/>
  <c r="N106" i="3" s="1"/>
  <c r="I105" i="3"/>
  <c r="K105" i="3" s="1"/>
  <c r="L105" i="3" s="1"/>
  <c r="M105" i="3" s="1"/>
  <c r="N105" i="3" s="1"/>
  <c r="K104" i="3"/>
  <c r="L104" i="3" s="1"/>
  <c r="M104" i="3" s="1"/>
  <c r="N104" i="3" s="1"/>
  <c r="K103" i="3"/>
  <c r="L103" i="3" s="1"/>
  <c r="M103" i="3" s="1"/>
  <c r="N103" i="3" s="1"/>
  <c r="K102" i="3"/>
  <c r="L102" i="3" s="1"/>
  <c r="M102" i="3" s="1"/>
  <c r="N102" i="3" s="1"/>
  <c r="K101" i="3"/>
  <c r="L101" i="3" s="1"/>
  <c r="M101" i="3" s="1"/>
  <c r="N101" i="3" s="1"/>
  <c r="K100" i="3"/>
  <c r="L100" i="3" s="1"/>
  <c r="M100" i="3" s="1"/>
  <c r="N100" i="3" s="1"/>
  <c r="K99" i="3"/>
  <c r="L99" i="3" s="1"/>
  <c r="M99" i="3" s="1"/>
  <c r="N99" i="3" s="1"/>
  <c r="K98" i="3"/>
  <c r="L98" i="3" s="1"/>
  <c r="M98" i="3" s="1"/>
  <c r="N98" i="3" s="1"/>
  <c r="K97" i="3"/>
  <c r="L97" i="3" s="1"/>
  <c r="M97" i="3" s="1"/>
  <c r="N97" i="3" s="1"/>
  <c r="K96" i="3"/>
  <c r="L96" i="3" s="1"/>
  <c r="M96" i="3" s="1"/>
  <c r="N96" i="3" s="1"/>
  <c r="K95" i="3"/>
  <c r="L95" i="3" s="1"/>
  <c r="M95" i="3" s="1"/>
  <c r="N95" i="3" s="1"/>
  <c r="K94" i="3"/>
  <c r="L94" i="3" s="1"/>
  <c r="M94" i="3" s="1"/>
  <c r="N94" i="3" s="1"/>
  <c r="K93" i="3"/>
  <c r="L93" i="3" s="1"/>
  <c r="M93" i="3" s="1"/>
  <c r="N93" i="3" s="1"/>
  <c r="K92" i="3"/>
  <c r="L92" i="3" s="1"/>
  <c r="M92" i="3" s="1"/>
  <c r="N92" i="3" s="1"/>
  <c r="K91" i="3"/>
  <c r="L91" i="3" s="1"/>
  <c r="M91" i="3" s="1"/>
  <c r="N91" i="3" s="1"/>
  <c r="K90" i="3"/>
  <c r="L90" i="3" s="1"/>
  <c r="M90" i="3" s="1"/>
  <c r="N90" i="3" s="1"/>
  <c r="K89" i="3"/>
  <c r="L89" i="3" s="1"/>
  <c r="M89" i="3" s="1"/>
  <c r="N89" i="3" s="1"/>
  <c r="K88" i="3"/>
  <c r="L88" i="3" s="1"/>
  <c r="M88" i="3" s="1"/>
  <c r="N88" i="3" s="1"/>
  <c r="K87" i="3"/>
  <c r="L87" i="3" s="1"/>
  <c r="M87" i="3" s="1"/>
  <c r="N87" i="3" s="1"/>
  <c r="K86" i="3"/>
  <c r="L86" i="3" s="1"/>
  <c r="M86" i="3" s="1"/>
  <c r="N86" i="3" s="1"/>
  <c r="K85" i="3"/>
  <c r="L85" i="3" s="1"/>
  <c r="M85" i="3" s="1"/>
  <c r="N85" i="3" s="1"/>
  <c r="K84" i="3"/>
  <c r="L84" i="3" s="1"/>
  <c r="M84" i="3" s="1"/>
  <c r="N84" i="3" s="1"/>
  <c r="K83" i="3"/>
  <c r="L83" i="3" s="1"/>
  <c r="M83" i="3" s="1"/>
  <c r="N83" i="3" s="1"/>
  <c r="K82" i="3"/>
  <c r="L82" i="3" s="1"/>
  <c r="M82" i="3" s="1"/>
  <c r="N82" i="3" s="1"/>
  <c r="K81" i="3"/>
  <c r="L81" i="3" s="1"/>
  <c r="M81" i="3" s="1"/>
  <c r="N81" i="3" s="1"/>
  <c r="K80" i="3"/>
  <c r="L80" i="3" s="1"/>
  <c r="M80" i="3" s="1"/>
  <c r="N80" i="3" s="1"/>
  <c r="K79" i="3"/>
  <c r="L79" i="3" s="1"/>
  <c r="M79" i="3" s="1"/>
  <c r="N79" i="3" s="1"/>
  <c r="K78" i="3"/>
  <c r="L78" i="3" s="1"/>
  <c r="M78" i="3" s="1"/>
  <c r="N78" i="3" s="1"/>
  <c r="K77" i="3"/>
  <c r="L77" i="3" s="1"/>
  <c r="M77" i="3" s="1"/>
  <c r="N77" i="3" s="1"/>
  <c r="K76" i="3"/>
  <c r="L76" i="3" s="1"/>
  <c r="M76" i="3" s="1"/>
  <c r="N76" i="3" s="1"/>
  <c r="K75" i="3"/>
  <c r="L75" i="3" s="1"/>
  <c r="M75" i="3" s="1"/>
  <c r="N75" i="3" s="1"/>
  <c r="K74" i="3"/>
  <c r="L74" i="3" s="1"/>
  <c r="M74" i="3" s="1"/>
  <c r="N74" i="3" s="1"/>
  <c r="K73" i="3"/>
  <c r="L73" i="3" s="1"/>
  <c r="M73" i="3" s="1"/>
  <c r="N73" i="3" s="1"/>
  <c r="K72" i="3"/>
  <c r="L72" i="3" s="1"/>
  <c r="M72" i="3" s="1"/>
  <c r="N72" i="3" s="1"/>
  <c r="K71" i="3"/>
  <c r="L71" i="3" s="1"/>
  <c r="M71" i="3" s="1"/>
  <c r="N71" i="3" s="1"/>
  <c r="K70" i="3"/>
  <c r="L70" i="3" s="1"/>
  <c r="M70" i="3" s="1"/>
  <c r="N70" i="3" s="1"/>
  <c r="K69" i="3"/>
  <c r="L69" i="3" s="1"/>
  <c r="M69" i="3" s="1"/>
  <c r="N69" i="3" s="1"/>
  <c r="K68" i="3"/>
  <c r="L68" i="3" s="1"/>
  <c r="M68" i="3" s="1"/>
  <c r="N68" i="3" s="1"/>
  <c r="K67" i="3"/>
  <c r="L67" i="3" s="1"/>
  <c r="M67" i="3" s="1"/>
  <c r="N67" i="3" s="1"/>
  <c r="K66" i="3"/>
  <c r="L66" i="3" s="1"/>
  <c r="M66" i="3" s="1"/>
  <c r="N66" i="3" s="1"/>
  <c r="K65" i="3"/>
  <c r="L65" i="3" s="1"/>
  <c r="M65" i="3" s="1"/>
  <c r="N65" i="3" s="1"/>
  <c r="K64" i="3"/>
  <c r="L64" i="3" s="1"/>
  <c r="M64" i="3" s="1"/>
  <c r="N64" i="3" s="1"/>
  <c r="K63" i="3"/>
  <c r="L63" i="3" s="1"/>
  <c r="M63" i="3" s="1"/>
  <c r="N63" i="3" s="1"/>
  <c r="K62" i="3"/>
  <c r="L62" i="3" s="1"/>
  <c r="M62" i="3" s="1"/>
  <c r="N62" i="3" s="1"/>
  <c r="K61" i="3"/>
  <c r="L61" i="3" s="1"/>
  <c r="M61" i="3" s="1"/>
  <c r="N61" i="3" s="1"/>
  <c r="K60" i="3"/>
  <c r="L60" i="3" s="1"/>
  <c r="M60" i="3" s="1"/>
  <c r="N60" i="3" s="1"/>
  <c r="K59" i="3"/>
  <c r="L59" i="3" s="1"/>
  <c r="M59" i="3" s="1"/>
  <c r="N59" i="3" s="1"/>
  <c r="K58" i="3"/>
  <c r="L58" i="3" s="1"/>
  <c r="M58" i="3" s="1"/>
  <c r="N58" i="3" s="1"/>
  <c r="K57" i="3"/>
  <c r="L57" i="3" s="1"/>
  <c r="M57" i="3" s="1"/>
  <c r="N57" i="3" s="1"/>
  <c r="K56" i="3"/>
  <c r="L56" i="3" s="1"/>
  <c r="M56" i="3" s="1"/>
  <c r="N56" i="3" s="1"/>
  <c r="K55" i="3"/>
  <c r="L55" i="3" s="1"/>
  <c r="M55" i="3" s="1"/>
  <c r="N55" i="3" s="1"/>
  <c r="K54" i="3"/>
  <c r="L54" i="3" s="1"/>
  <c r="M54" i="3" s="1"/>
  <c r="N54" i="3" s="1"/>
  <c r="K53" i="3"/>
  <c r="L53" i="3" s="1"/>
  <c r="M53" i="3" s="1"/>
  <c r="N53" i="3" s="1"/>
  <c r="K52" i="3"/>
  <c r="L52" i="3" s="1"/>
  <c r="M52" i="3" s="1"/>
  <c r="N52" i="3" s="1"/>
  <c r="K51" i="3"/>
  <c r="L51" i="3" s="1"/>
  <c r="M51" i="3" s="1"/>
  <c r="N51" i="3" s="1"/>
  <c r="K50" i="3"/>
  <c r="L50" i="3" s="1"/>
  <c r="M50" i="3" s="1"/>
  <c r="N50" i="3" s="1"/>
  <c r="K49" i="3"/>
  <c r="L49" i="3" s="1"/>
  <c r="M49" i="3" s="1"/>
  <c r="N49" i="3" s="1"/>
  <c r="K48" i="3"/>
  <c r="L48" i="3" s="1"/>
  <c r="M48" i="3" s="1"/>
  <c r="N48" i="3" s="1"/>
  <c r="K47" i="3"/>
  <c r="L47" i="3" s="1"/>
  <c r="M47" i="3" s="1"/>
  <c r="N47" i="3" s="1"/>
  <c r="K46" i="3"/>
  <c r="L46" i="3" s="1"/>
  <c r="M46" i="3" s="1"/>
  <c r="N46" i="3" s="1"/>
  <c r="K45" i="3"/>
  <c r="L45" i="3" s="1"/>
  <c r="M45" i="3" s="1"/>
  <c r="N45" i="3" s="1"/>
  <c r="K44" i="3"/>
  <c r="L44" i="3" s="1"/>
  <c r="M44" i="3" s="1"/>
  <c r="N44" i="3" s="1"/>
  <c r="K43" i="3"/>
  <c r="L43" i="3" s="1"/>
  <c r="M43" i="3" s="1"/>
  <c r="N43" i="3" s="1"/>
  <c r="K42" i="3"/>
  <c r="L42" i="3" s="1"/>
  <c r="M42" i="3" s="1"/>
  <c r="N42" i="3" s="1"/>
  <c r="K41" i="3"/>
  <c r="L41" i="3" s="1"/>
  <c r="M41" i="3" s="1"/>
  <c r="N41" i="3" s="1"/>
  <c r="K40" i="3"/>
  <c r="L40" i="3" s="1"/>
  <c r="M40" i="3" s="1"/>
  <c r="N40" i="3" s="1"/>
  <c r="K39" i="3"/>
  <c r="L39" i="3" s="1"/>
  <c r="M39" i="3" s="1"/>
  <c r="N39" i="3" s="1"/>
  <c r="K38" i="3"/>
  <c r="L38" i="3" s="1"/>
  <c r="M38" i="3" s="1"/>
  <c r="N38" i="3" s="1"/>
  <c r="K37" i="3"/>
  <c r="L37" i="3" s="1"/>
  <c r="M37" i="3" s="1"/>
  <c r="N37" i="3" s="1"/>
  <c r="K36" i="3"/>
  <c r="L36" i="3" s="1"/>
  <c r="M36" i="3" s="1"/>
  <c r="N36" i="3" s="1"/>
  <c r="K35" i="3"/>
  <c r="L35" i="3" s="1"/>
  <c r="M35" i="3" s="1"/>
  <c r="N35" i="3" s="1"/>
  <c r="K34" i="3"/>
  <c r="L34" i="3" s="1"/>
  <c r="M34" i="3" s="1"/>
  <c r="N34" i="3" s="1"/>
  <c r="L33" i="3"/>
  <c r="M33" i="3" s="1"/>
  <c r="N33" i="3" s="1"/>
  <c r="K33" i="3"/>
  <c r="K32" i="3"/>
  <c r="L32" i="3" s="1"/>
  <c r="M32" i="3" s="1"/>
  <c r="N32" i="3" s="1"/>
  <c r="K31" i="3"/>
  <c r="L31" i="3" s="1"/>
  <c r="M31" i="3" s="1"/>
  <c r="N31" i="3" s="1"/>
  <c r="K30" i="3"/>
  <c r="L30" i="3" s="1"/>
  <c r="M30" i="3" s="1"/>
  <c r="N30" i="3" s="1"/>
  <c r="K29" i="3"/>
  <c r="L29" i="3" s="1"/>
  <c r="M29" i="3" s="1"/>
  <c r="N29" i="3" s="1"/>
  <c r="K28" i="3"/>
  <c r="L28" i="3" s="1"/>
  <c r="M28" i="3" s="1"/>
  <c r="N28" i="3" s="1"/>
  <c r="K27" i="3"/>
  <c r="L27" i="3" s="1"/>
  <c r="M27" i="3" s="1"/>
  <c r="N27" i="3" s="1"/>
  <c r="K26" i="3"/>
  <c r="L26" i="3" s="1"/>
  <c r="M26" i="3" s="1"/>
  <c r="N26" i="3" s="1"/>
  <c r="K25" i="3"/>
  <c r="L25" i="3" s="1"/>
  <c r="M25" i="3" s="1"/>
  <c r="N25" i="3" s="1"/>
  <c r="K24" i="3"/>
  <c r="L24" i="3" s="1"/>
  <c r="M24" i="3" s="1"/>
  <c r="N24" i="3" s="1"/>
  <c r="L23" i="3"/>
  <c r="M23" i="3" s="1"/>
  <c r="N23" i="3" s="1"/>
  <c r="K23" i="3"/>
  <c r="K22" i="3"/>
  <c r="L22" i="3" s="1"/>
  <c r="M22" i="3" s="1"/>
  <c r="N22" i="3" s="1"/>
  <c r="L21" i="3"/>
  <c r="M21" i="3" s="1"/>
  <c r="N21" i="3" s="1"/>
  <c r="L20" i="3"/>
  <c r="M20" i="3" s="1"/>
  <c r="N20" i="3" s="1"/>
  <c r="L19" i="3"/>
  <c r="M19" i="3" s="1"/>
  <c r="N19" i="3" s="1"/>
  <c r="L18" i="3"/>
  <c r="M18" i="3" s="1"/>
  <c r="N18" i="3" s="1"/>
  <c r="L17" i="3"/>
  <c r="M17" i="3" s="1"/>
  <c r="N17" i="3" s="1"/>
  <c r="L16" i="3"/>
  <c r="M16" i="3" s="1"/>
  <c r="N16" i="3" s="1"/>
  <c r="L15" i="3"/>
  <c r="M15" i="3" s="1"/>
  <c r="N15" i="3" s="1"/>
  <c r="L14" i="3"/>
  <c r="M14" i="3" s="1"/>
  <c r="N14" i="3" s="1"/>
  <c r="L13" i="3"/>
  <c r="M13" i="3" s="1"/>
  <c r="N13" i="3" s="1"/>
  <c r="L12" i="3"/>
  <c r="M12" i="3" s="1"/>
  <c r="N12" i="3" s="1"/>
  <c r="L11" i="3"/>
  <c r="M11" i="3" s="1"/>
  <c r="N11" i="3" s="1"/>
  <c r="L10" i="3"/>
  <c r="M10" i="3" s="1"/>
  <c r="N10" i="3" s="1"/>
  <c r="L9" i="3"/>
  <c r="M9" i="3" s="1"/>
  <c r="N9" i="3" s="1"/>
  <c r="L8" i="3"/>
  <c r="M8" i="3" s="1"/>
  <c r="N8" i="3" s="1"/>
  <c r="L7" i="3"/>
  <c r="M7" i="3" s="1"/>
  <c r="N7" i="3" s="1"/>
  <c r="L6" i="3"/>
  <c r="M6" i="3" s="1"/>
  <c r="N6" i="3" s="1"/>
  <c r="L5" i="3"/>
  <c r="M5" i="3" s="1"/>
  <c r="N5" i="3" s="1"/>
  <c r="N4" i="3"/>
  <c r="AK14" i="7" l="1"/>
  <c r="AK15" i="7"/>
  <c r="AK16" i="7"/>
  <c r="AK17" i="7"/>
  <c r="AK18" i="7"/>
  <c r="AK19" i="7"/>
  <c r="AK20" i="7"/>
  <c r="AK21" i="7"/>
  <c r="AK22" i="7"/>
  <c r="AK23" i="7"/>
  <c r="AK24" i="7"/>
  <c r="AK25" i="7"/>
  <c r="AK26" i="7"/>
  <c r="AK27" i="7"/>
  <c r="AK28" i="7"/>
  <c r="AK29" i="7"/>
  <c r="AK30" i="7"/>
  <c r="AK31" i="7"/>
  <c r="AK32" i="7"/>
  <c r="AK33" i="7"/>
  <c r="AK34" i="7"/>
  <c r="AK35" i="7"/>
  <c r="AK36" i="7"/>
  <c r="AK37" i="7"/>
  <c r="AK38" i="7"/>
  <c r="AK39" i="7"/>
  <c r="AK40" i="7"/>
  <c r="AK41" i="7"/>
  <c r="AK42" i="7"/>
  <c r="AK43" i="7"/>
  <c r="AK44" i="7"/>
  <c r="AK45" i="7"/>
  <c r="AK46" i="7"/>
  <c r="AK47" i="7"/>
  <c r="AK48" i="7"/>
  <c r="AK49" i="7"/>
  <c r="AK50" i="7"/>
  <c r="E67" i="6" l="1"/>
  <c r="C10" i="13" s="1"/>
  <c r="F67" i="6"/>
  <c r="D10" i="13" s="1"/>
  <c r="G67" i="6"/>
  <c r="E10" i="13" s="1"/>
  <c r="H67" i="6"/>
  <c r="F10" i="13" s="1"/>
  <c r="I67" i="6"/>
  <c r="G10" i="13" s="1"/>
  <c r="J67" i="6"/>
  <c r="H10" i="13" s="1"/>
  <c r="K67" i="6"/>
  <c r="I10" i="13" s="1"/>
  <c r="L67" i="6"/>
  <c r="J10" i="13" s="1"/>
  <c r="M67" i="6"/>
  <c r="K10" i="13" s="1"/>
  <c r="N67" i="6"/>
  <c r="L10" i="13" s="1"/>
  <c r="O67" i="6"/>
  <c r="M10" i="13" s="1"/>
  <c r="D67" i="6"/>
  <c r="C3" i="13"/>
  <c r="D3" i="13" s="1"/>
  <c r="E3" i="13" s="1"/>
  <c r="F3" i="13" s="1"/>
  <c r="G3" i="13" s="1"/>
  <c r="H3" i="13" s="1"/>
  <c r="I3" i="13" s="1"/>
  <c r="J3" i="13" s="1"/>
  <c r="K3" i="13" s="1"/>
  <c r="L3" i="13" s="1"/>
  <c r="M3" i="13" s="1"/>
  <c r="L115" i="11" l="1"/>
  <c r="H115" i="11"/>
  <c r="D115" i="11"/>
  <c r="E115" i="11"/>
  <c r="K115" i="11"/>
  <c r="G115" i="11"/>
  <c r="C115" i="11"/>
  <c r="M115" i="11"/>
  <c r="I115" i="11"/>
  <c r="P67" i="6"/>
  <c r="B115" i="11"/>
  <c r="J115" i="11"/>
  <c r="F115" i="11"/>
  <c r="B10" i="13"/>
  <c r="AD52" i="7"/>
  <c r="AB52" i="7"/>
  <c r="Z52" i="7"/>
  <c r="X52" i="7"/>
  <c r="V52" i="7"/>
  <c r="T52" i="7"/>
  <c r="R52" i="7"/>
  <c r="P52" i="7"/>
  <c r="N115" i="11" l="1"/>
  <c r="C6" i="11" l="1"/>
  <c r="A10" i="11"/>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67" i="7"/>
  <c r="AF13" i="7"/>
  <c r="E14" i="7"/>
  <c r="D14" i="7" s="1"/>
  <c r="AF14" i="7"/>
  <c r="E15" i="7"/>
  <c r="AF15" i="7"/>
  <c r="E16" i="7"/>
  <c r="F16" i="7" s="1"/>
  <c r="AF16" i="7"/>
  <c r="E17" i="7"/>
  <c r="AF17" i="7"/>
  <c r="E18" i="7"/>
  <c r="D18" i="7" s="1"/>
  <c r="AF18" i="7"/>
  <c r="E19" i="7"/>
  <c r="AF19" i="7"/>
  <c r="E20" i="7"/>
  <c r="G20" i="7" s="1"/>
  <c r="AF20" i="7"/>
  <c r="E21" i="7"/>
  <c r="AF21" i="7"/>
  <c r="E22" i="7"/>
  <c r="F22" i="7" s="1"/>
  <c r="AF22" i="7"/>
  <c r="E23" i="7"/>
  <c r="AF23" i="7"/>
  <c r="E24" i="7"/>
  <c r="F24" i="7" s="1"/>
  <c r="AF24" i="7"/>
  <c r="E25" i="7"/>
  <c r="D25" i="7" s="1"/>
  <c r="AF25" i="7"/>
  <c r="E26" i="7"/>
  <c r="F26" i="7" s="1"/>
  <c r="AF26" i="7"/>
  <c r="E27" i="7"/>
  <c r="AF27" i="7"/>
  <c r="E28" i="7"/>
  <c r="D28" i="7" s="1"/>
  <c r="AF28" i="7"/>
  <c r="E29" i="7"/>
  <c r="D29" i="7" s="1"/>
  <c r="I29" i="7"/>
  <c r="K29" i="7"/>
  <c r="M29" i="7"/>
  <c r="O29" i="7"/>
  <c r="Q29" i="7"/>
  <c r="S29" i="7"/>
  <c r="U29" i="7"/>
  <c r="W29" i="7"/>
  <c r="Y29" i="7"/>
  <c r="AA29" i="7"/>
  <c r="AC29" i="7"/>
  <c r="AE29" i="7"/>
  <c r="AF29" i="7"/>
  <c r="E30" i="7"/>
  <c r="D30" i="7" s="1"/>
  <c r="I30" i="7"/>
  <c r="K30" i="7"/>
  <c r="M30" i="7"/>
  <c r="O30" i="7"/>
  <c r="Q30" i="7"/>
  <c r="S30" i="7"/>
  <c r="U30" i="7"/>
  <c r="W30" i="7"/>
  <c r="Y30" i="7"/>
  <c r="AA30" i="7"/>
  <c r="AC30" i="7"/>
  <c r="AE30" i="7"/>
  <c r="AF30" i="7"/>
  <c r="E31" i="7"/>
  <c r="I31" i="7"/>
  <c r="K31" i="7"/>
  <c r="M31" i="7"/>
  <c r="O31" i="7"/>
  <c r="Q31" i="7"/>
  <c r="S31" i="7"/>
  <c r="U31" i="7"/>
  <c r="W31" i="7"/>
  <c r="Y31" i="7"/>
  <c r="AA31" i="7"/>
  <c r="AC31" i="7"/>
  <c r="AE31" i="7"/>
  <c r="AF31" i="7"/>
  <c r="E32" i="7"/>
  <c r="F32" i="7" s="1"/>
  <c r="I32" i="7"/>
  <c r="K32" i="7"/>
  <c r="M32" i="7"/>
  <c r="O32" i="7"/>
  <c r="Q32" i="7"/>
  <c r="S32" i="7"/>
  <c r="U32" i="7"/>
  <c r="W32" i="7"/>
  <c r="Y32" i="7"/>
  <c r="AA32" i="7"/>
  <c r="AC32" i="7"/>
  <c r="AE32" i="7"/>
  <c r="AF32" i="7"/>
  <c r="E33" i="7"/>
  <c r="D33" i="7" s="1"/>
  <c r="I33" i="7"/>
  <c r="K33" i="7"/>
  <c r="M33" i="7"/>
  <c r="O33" i="7"/>
  <c r="Q33" i="7"/>
  <c r="S33" i="7"/>
  <c r="U33" i="7"/>
  <c r="W33" i="7"/>
  <c r="Y33" i="7"/>
  <c r="AA33" i="7"/>
  <c r="AC33" i="7"/>
  <c r="AE33" i="7"/>
  <c r="AF33" i="7"/>
  <c r="E34" i="7"/>
  <c r="F34" i="7" s="1"/>
  <c r="I34" i="7"/>
  <c r="K34" i="7"/>
  <c r="M34" i="7"/>
  <c r="O34" i="7"/>
  <c r="Q34" i="7"/>
  <c r="S34" i="7"/>
  <c r="U34" i="7"/>
  <c r="W34" i="7"/>
  <c r="Y34" i="7"/>
  <c r="AA34" i="7"/>
  <c r="AC34" i="7"/>
  <c r="AE34" i="7"/>
  <c r="AF34" i="7"/>
  <c r="E35" i="7"/>
  <c r="I35" i="7"/>
  <c r="K35" i="7"/>
  <c r="M35" i="7"/>
  <c r="O35" i="7"/>
  <c r="Q35" i="7"/>
  <c r="S35" i="7"/>
  <c r="U35" i="7"/>
  <c r="W35" i="7"/>
  <c r="Y35" i="7"/>
  <c r="AA35" i="7"/>
  <c r="AC35" i="7"/>
  <c r="AE35" i="7"/>
  <c r="AF35" i="7"/>
  <c r="E36" i="7"/>
  <c r="G36" i="7" s="1"/>
  <c r="I36" i="7"/>
  <c r="K36" i="7"/>
  <c r="M36" i="7"/>
  <c r="O36" i="7"/>
  <c r="Q36" i="7"/>
  <c r="S36" i="7"/>
  <c r="U36" i="7"/>
  <c r="W36" i="7"/>
  <c r="Y36" i="7"/>
  <c r="AA36" i="7"/>
  <c r="AC36" i="7"/>
  <c r="AE36" i="7"/>
  <c r="AF36" i="7"/>
  <c r="E37" i="7"/>
  <c r="G37" i="7" s="1"/>
  <c r="I37" i="7"/>
  <c r="K37" i="7"/>
  <c r="M37" i="7"/>
  <c r="O37" i="7"/>
  <c r="Q37" i="7"/>
  <c r="S37" i="7"/>
  <c r="U37" i="7"/>
  <c r="W37" i="7"/>
  <c r="Y37" i="7"/>
  <c r="AA37" i="7"/>
  <c r="AC37" i="7"/>
  <c r="AE37" i="7"/>
  <c r="AF37" i="7"/>
  <c r="E38" i="7"/>
  <c r="G38" i="7" s="1"/>
  <c r="I38" i="7"/>
  <c r="K38" i="7"/>
  <c r="M38" i="7"/>
  <c r="O38" i="7"/>
  <c r="Q38" i="7"/>
  <c r="S38" i="7"/>
  <c r="U38" i="7"/>
  <c r="W38" i="7"/>
  <c r="Y38" i="7"/>
  <c r="AA38" i="7"/>
  <c r="AC38" i="7"/>
  <c r="AE38" i="7"/>
  <c r="AF38" i="7"/>
  <c r="E39" i="7"/>
  <c r="G39" i="7" s="1"/>
  <c r="I39" i="7"/>
  <c r="K39" i="7"/>
  <c r="M39" i="7"/>
  <c r="O39" i="7"/>
  <c r="Q39" i="7"/>
  <c r="S39" i="7"/>
  <c r="U39" i="7"/>
  <c r="W39" i="7"/>
  <c r="Y39" i="7"/>
  <c r="AA39" i="7"/>
  <c r="AC39" i="7"/>
  <c r="AE39" i="7"/>
  <c r="AF39" i="7"/>
  <c r="E40" i="7"/>
  <c r="F40" i="7" s="1"/>
  <c r="I40" i="7"/>
  <c r="K40" i="7"/>
  <c r="M40" i="7"/>
  <c r="O40" i="7"/>
  <c r="Q40" i="7"/>
  <c r="S40" i="7"/>
  <c r="U40" i="7"/>
  <c r="W40" i="7"/>
  <c r="Y40" i="7"/>
  <c r="AA40" i="7"/>
  <c r="AC40" i="7"/>
  <c r="AE40" i="7"/>
  <c r="AF40" i="7"/>
  <c r="E41" i="7"/>
  <c r="G41" i="7" s="1"/>
  <c r="I41" i="7"/>
  <c r="K41" i="7"/>
  <c r="M41" i="7"/>
  <c r="O41" i="7"/>
  <c r="Q41" i="7"/>
  <c r="S41" i="7"/>
  <c r="U41" i="7"/>
  <c r="W41" i="7"/>
  <c r="Y41" i="7"/>
  <c r="AA41" i="7"/>
  <c r="AC41" i="7"/>
  <c r="AE41" i="7"/>
  <c r="AF41" i="7"/>
  <c r="E42" i="7"/>
  <c r="G42" i="7" s="1"/>
  <c r="I42" i="7"/>
  <c r="K42" i="7"/>
  <c r="M42" i="7"/>
  <c r="O42" i="7"/>
  <c r="Q42" i="7"/>
  <c r="S42" i="7"/>
  <c r="U42" i="7"/>
  <c r="W42" i="7"/>
  <c r="Y42" i="7"/>
  <c r="AA42" i="7"/>
  <c r="AC42" i="7"/>
  <c r="AE42" i="7"/>
  <c r="AF42" i="7"/>
  <c r="E43" i="7"/>
  <c r="G43" i="7" s="1"/>
  <c r="I43" i="7"/>
  <c r="K43" i="7"/>
  <c r="M43" i="7"/>
  <c r="O43" i="7"/>
  <c r="Q43" i="7"/>
  <c r="S43" i="7"/>
  <c r="U43" i="7"/>
  <c r="W43" i="7"/>
  <c r="Y43" i="7"/>
  <c r="AA43" i="7"/>
  <c r="AC43" i="7"/>
  <c r="AE43" i="7"/>
  <c r="AF43" i="7"/>
  <c r="E44" i="7"/>
  <c r="G44" i="7" s="1"/>
  <c r="I44" i="7"/>
  <c r="K44" i="7"/>
  <c r="M44" i="7"/>
  <c r="O44" i="7"/>
  <c r="Q44" i="7"/>
  <c r="S44" i="7"/>
  <c r="U44" i="7"/>
  <c r="W44" i="7"/>
  <c r="Y44" i="7"/>
  <c r="AA44" i="7"/>
  <c r="AC44" i="7"/>
  <c r="AE44" i="7"/>
  <c r="AF44" i="7"/>
  <c r="E45" i="7"/>
  <c r="G45" i="7" s="1"/>
  <c r="I45" i="7"/>
  <c r="K45" i="7"/>
  <c r="M45" i="7"/>
  <c r="O45" i="7"/>
  <c r="Q45" i="7"/>
  <c r="S45" i="7"/>
  <c r="U45" i="7"/>
  <c r="W45" i="7"/>
  <c r="Y45" i="7"/>
  <c r="AA45" i="7"/>
  <c r="AC45" i="7"/>
  <c r="AE45" i="7"/>
  <c r="AF45" i="7"/>
  <c r="E46" i="7"/>
  <c r="D46" i="7" s="1"/>
  <c r="I46" i="7"/>
  <c r="K46" i="7"/>
  <c r="M46" i="7"/>
  <c r="O46" i="7"/>
  <c r="Q46" i="7"/>
  <c r="S46" i="7"/>
  <c r="U46" i="7"/>
  <c r="W46" i="7"/>
  <c r="Y46" i="7"/>
  <c r="AA46" i="7"/>
  <c r="AC46" i="7"/>
  <c r="AE46" i="7"/>
  <c r="AF46" i="7"/>
  <c r="E47" i="7"/>
  <c r="F47" i="7" s="1"/>
  <c r="I47" i="7"/>
  <c r="K47" i="7"/>
  <c r="M47" i="7"/>
  <c r="O47" i="7"/>
  <c r="Q47" i="7"/>
  <c r="S47" i="7"/>
  <c r="U47" i="7"/>
  <c r="W47" i="7"/>
  <c r="Y47" i="7"/>
  <c r="AA47" i="7"/>
  <c r="AC47" i="7"/>
  <c r="AE47" i="7"/>
  <c r="AF47" i="7"/>
  <c r="E48" i="7"/>
  <c r="D48" i="7" s="1"/>
  <c r="I48" i="7"/>
  <c r="K48" i="7"/>
  <c r="M48" i="7"/>
  <c r="O48" i="7"/>
  <c r="Q48" i="7"/>
  <c r="S48" i="7"/>
  <c r="U48" i="7"/>
  <c r="W48" i="7"/>
  <c r="Y48" i="7"/>
  <c r="AA48" i="7"/>
  <c r="AC48" i="7"/>
  <c r="AE48" i="7"/>
  <c r="AF48" i="7"/>
  <c r="E49" i="7"/>
  <c r="F49" i="7" s="1"/>
  <c r="I49" i="7"/>
  <c r="K49" i="7"/>
  <c r="M49" i="7"/>
  <c r="O49" i="7"/>
  <c r="Q49" i="7"/>
  <c r="S49" i="7"/>
  <c r="U49" i="7"/>
  <c r="W49" i="7"/>
  <c r="Y49" i="7"/>
  <c r="AA49" i="7"/>
  <c r="AC49" i="7"/>
  <c r="AE49" i="7"/>
  <c r="AF49" i="7"/>
  <c r="E50" i="7"/>
  <c r="D50" i="7" s="1"/>
  <c r="I50" i="7"/>
  <c r="K50" i="7"/>
  <c r="M50" i="7"/>
  <c r="O50" i="7"/>
  <c r="Q50" i="7"/>
  <c r="S50" i="7"/>
  <c r="U50" i="7"/>
  <c r="W50" i="7"/>
  <c r="Y50" i="7"/>
  <c r="AA50" i="7"/>
  <c r="AC50" i="7"/>
  <c r="AE50" i="7"/>
  <c r="AF50" i="7"/>
  <c r="F6" i="7"/>
  <c r="G6" i="8"/>
  <c r="AF13" i="8"/>
  <c r="AF14" i="8"/>
  <c r="AF15" i="8"/>
  <c r="AF16" i="8"/>
  <c r="AF17" i="8"/>
  <c r="AF18" i="8"/>
  <c r="AF19" i="8"/>
  <c r="AF20" i="8"/>
  <c r="AF21" i="8"/>
  <c r="AF22" i="8"/>
  <c r="AF23" i="8"/>
  <c r="AF24" i="8"/>
  <c r="AF25" i="8"/>
  <c r="AF26" i="8"/>
  <c r="AF27" i="8"/>
  <c r="AF28" i="8"/>
  <c r="AF29" i="8"/>
  <c r="AF30" i="8"/>
  <c r="AF31" i="8"/>
  <c r="AF32" i="8"/>
  <c r="AF33" i="8"/>
  <c r="AF34" i="8"/>
  <c r="AF35" i="8"/>
  <c r="AF36" i="8"/>
  <c r="AF37" i="8"/>
  <c r="AF38" i="8"/>
  <c r="AF39" i="8"/>
  <c r="AF40" i="8"/>
  <c r="AF41" i="8"/>
  <c r="AF42" i="8"/>
  <c r="AF43" i="8"/>
  <c r="AF44" i="8"/>
  <c r="AF45" i="8"/>
  <c r="AF46" i="8"/>
  <c r="AF47" i="8"/>
  <c r="AF48" i="8"/>
  <c r="AF49" i="8"/>
  <c r="AF50" i="8"/>
  <c r="AF51" i="8"/>
  <c r="A107" i="8"/>
  <c r="B107" i="8"/>
  <c r="C107" i="8"/>
  <c r="A108" i="8"/>
  <c r="B108" i="8"/>
  <c r="C108" i="8"/>
  <c r="A109" i="8"/>
  <c r="B109" i="8"/>
  <c r="C109" i="8"/>
  <c r="A110" i="8"/>
  <c r="B110" i="8"/>
  <c r="C110" i="8"/>
  <c r="D49" i="8"/>
  <c r="I49" i="8"/>
  <c r="D50" i="8"/>
  <c r="I50" i="8"/>
  <c r="D51" i="8"/>
  <c r="I5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71" i="8"/>
  <c r="A72" i="8"/>
  <c r="C72" i="8"/>
  <c r="A73" i="8"/>
  <c r="C73" i="8"/>
  <c r="A74" i="8"/>
  <c r="C74" i="8"/>
  <c r="A75" i="8"/>
  <c r="C75" i="8"/>
  <c r="A76" i="8"/>
  <c r="C76" i="8"/>
  <c r="A77" i="8"/>
  <c r="C77" i="8"/>
  <c r="A78" i="8"/>
  <c r="C78" i="8"/>
  <c r="A79" i="8"/>
  <c r="C79" i="8"/>
  <c r="A80" i="8"/>
  <c r="C80" i="8"/>
  <c r="A81" i="8"/>
  <c r="C81" i="8"/>
  <c r="A82" i="8"/>
  <c r="C82" i="8"/>
  <c r="A83" i="8"/>
  <c r="C83" i="8"/>
  <c r="A84" i="8"/>
  <c r="C84" i="8"/>
  <c r="A85" i="8"/>
  <c r="C85" i="8"/>
  <c r="A86" i="8"/>
  <c r="C86" i="8"/>
  <c r="A87" i="8"/>
  <c r="C87" i="8"/>
  <c r="A88" i="8"/>
  <c r="C88" i="8"/>
  <c r="A89" i="8"/>
  <c r="C89" i="8"/>
  <c r="A90" i="8"/>
  <c r="C90" i="8"/>
  <c r="A91" i="8"/>
  <c r="C91" i="8"/>
  <c r="A92" i="8"/>
  <c r="C92" i="8"/>
  <c r="A93" i="8"/>
  <c r="C93" i="8"/>
  <c r="A94" i="8"/>
  <c r="C94" i="8"/>
  <c r="A95" i="8"/>
  <c r="C95" i="8"/>
  <c r="A96" i="8"/>
  <c r="C96" i="8"/>
  <c r="A97" i="8"/>
  <c r="C97" i="8"/>
  <c r="A98" i="8"/>
  <c r="C98" i="8"/>
  <c r="A99" i="8"/>
  <c r="C99" i="8"/>
  <c r="A100" i="8"/>
  <c r="C100" i="8"/>
  <c r="A101" i="8"/>
  <c r="C101" i="8"/>
  <c r="A102" i="8"/>
  <c r="C102" i="8"/>
  <c r="A103" i="8"/>
  <c r="C103" i="8"/>
  <c r="A104" i="8"/>
  <c r="C104" i="8"/>
  <c r="A105" i="8"/>
  <c r="C105" i="8"/>
  <c r="A106" i="8"/>
  <c r="C106" i="8"/>
  <c r="I30" i="8"/>
  <c r="I31" i="8"/>
  <c r="I32" i="8"/>
  <c r="I33" i="8"/>
  <c r="I34" i="8"/>
  <c r="I35" i="8"/>
  <c r="I36" i="8"/>
  <c r="I37" i="8"/>
  <c r="I38" i="8"/>
  <c r="I39" i="8"/>
  <c r="I40" i="8"/>
  <c r="I41" i="8"/>
  <c r="I42" i="8"/>
  <c r="I43" i="8"/>
  <c r="I44" i="8"/>
  <c r="I45" i="8"/>
  <c r="I46" i="8"/>
  <c r="I47" i="8"/>
  <c r="I48"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AG49" i="7" l="1"/>
  <c r="AG47" i="7"/>
  <c r="AG37" i="7"/>
  <c r="AG31" i="7"/>
  <c r="AG45" i="7"/>
  <c r="AG35" i="7"/>
  <c r="AG41" i="7"/>
  <c r="AG39" i="7"/>
  <c r="G30" i="7"/>
  <c r="F43" i="7"/>
  <c r="AI43" i="7" s="1"/>
  <c r="AJ43" i="7" s="1"/>
  <c r="G48" i="7"/>
  <c r="F38" i="7"/>
  <c r="AI38" i="7" s="1"/>
  <c r="AJ38" i="7" s="1"/>
  <c r="F44" i="7"/>
  <c r="AI44" i="7" s="1"/>
  <c r="AJ44" i="7" s="1"/>
  <c r="D32" i="7"/>
  <c r="D44" i="7"/>
  <c r="D38" i="7"/>
  <c r="F36" i="7"/>
  <c r="AI36" i="7" s="1"/>
  <c r="AJ36" i="7" s="1"/>
  <c r="F30" i="7"/>
  <c r="D22" i="7"/>
  <c r="F20" i="7"/>
  <c r="AI20" i="7" s="1"/>
  <c r="AJ20" i="7" s="1"/>
  <c r="F42" i="7"/>
  <c r="AI42" i="7" s="1"/>
  <c r="AJ42" i="7" s="1"/>
  <c r="G32" i="7"/>
  <c r="AI32" i="7" s="1"/>
  <c r="AJ32" i="7" s="1"/>
  <c r="F28" i="7"/>
  <c r="G14" i="7"/>
  <c r="D40" i="7"/>
  <c r="D42" i="7"/>
  <c r="G40" i="7"/>
  <c r="AI40" i="7" s="1"/>
  <c r="AJ40" i="7" s="1"/>
  <c r="D36" i="7"/>
  <c r="G34" i="7"/>
  <c r="AI34" i="7" s="1"/>
  <c r="AJ34" i="7" s="1"/>
  <c r="D20" i="7"/>
  <c r="G18" i="7"/>
  <c r="D34" i="7"/>
  <c r="G50" i="7"/>
  <c r="G46" i="7"/>
  <c r="G28" i="7"/>
  <c r="AI28" i="7" s="1"/>
  <c r="AJ28" i="7" s="1"/>
  <c r="F18" i="7"/>
  <c r="F50" i="7"/>
  <c r="F48" i="7"/>
  <c r="F46" i="7"/>
  <c r="AG43" i="7"/>
  <c r="D41" i="7"/>
  <c r="F39" i="7"/>
  <c r="D37" i="7"/>
  <c r="D26" i="7"/>
  <c r="D24" i="7"/>
  <c r="G22" i="7"/>
  <c r="D16" i="7"/>
  <c r="AG30" i="7"/>
  <c r="G26" i="7"/>
  <c r="G24" i="7"/>
  <c r="G16" i="7"/>
  <c r="F14" i="7"/>
  <c r="AG50" i="7"/>
  <c r="AG48" i="7"/>
  <c r="AG46" i="7"/>
  <c r="D45" i="7"/>
  <c r="F41" i="7"/>
  <c r="D39" i="7"/>
  <c r="F37" i="7"/>
  <c r="AG33" i="7"/>
  <c r="AG29" i="7"/>
  <c r="F35" i="7"/>
  <c r="G35" i="7"/>
  <c r="F27" i="7"/>
  <c r="G27" i="7"/>
  <c r="D49" i="7"/>
  <c r="D47" i="7"/>
  <c r="AG44" i="7"/>
  <c r="AG40" i="7"/>
  <c r="AG36" i="7"/>
  <c r="D35" i="7"/>
  <c r="F33" i="7"/>
  <c r="G33" i="7"/>
  <c r="D27" i="7"/>
  <c r="F25" i="7"/>
  <c r="G25" i="7"/>
  <c r="F21" i="7"/>
  <c r="G21" i="7"/>
  <c r="D21" i="7"/>
  <c r="F17" i="7"/>
  <c r="G17" i="7"/>
  <c r="D17" i="7"/>
  <c r="G49" i="7"/>
  <c r="G47" i="7"/>
  <c r="F45" i="7"/>
  <c r="D43" i="7"/>
  <c r="AG34" i="7"/>
  <c r="F31" i="7"/>
  <c r="G31" i="7"/>
  <c r="AG42" i="7"/>
  <c r="AG38" i="7"/>
  <c r="AG32" i="7"/>
  <c r="D31" i="7"/>
  <c r="F29" i="7"/>
  <c r="G29" i="7"/>
  <c r="F23" i="7"/>
  <c r="G23" i="7"/>
  <c r="D23" i="7"/>
  <c r="F19" i="7"/>
  <c r="G19" i="7"/>
  <c r="D19" i="7"/>
  <c r="F15" i="7"/>
  <c r="G15" i="7"/>
  <c r="D15" i="7"/>
  <c r="E5" i="12"/>
  <c r="E4" i="12"/>
  <c r="E6" i="12"/>
  <c r="E7" i="12"/>
  <c r="E8" i="12"/>
  <c r="E3" i="12"/>
  <c r="AI30" i="7" l="1"/>
  <c r="AJ30" i="7" s="1"/>
  <c r="AI24" i="7"/>
  <c r="AJ24" i="7" s="1"/>
  <c r="AI48" i="7"/>
  <c r="AJ48" i="7" s="1"/>
  <c r="AI27" i="7"/>
  <c r="AJ27" i="7" s="1"/>
  <c r="AI41" i="7"/>
  <c r="AJ41" i="7" s="1"/>
  <c r="AI26" i="7"/>
  <c r="AJ26" i="7" s="1"/>
  <c r="AI50" i="7"/>
  <c r="AJ50" i="7" s="1"/>
  <c r="AI15" i="7"/>
  <c r="AJ15" i="7" s="1"/>
  <c r="AI22" i="7"/>
  <c r="AJ22" i="7" s="1"/>
  <c r="AI45" i="7"/>
  <c r="AJ45" i="7" s="1"/>
  <c r="AI21" i="7"/>
  <c r="AJ21" i="7" s="1"/>
  <c r="AI47" i="7"/>
  <c r="AJ47" i="7" s="1"/>
  <c r="AI14" i="7"/>
  <c r="AJ14" i="7" s="1"/>
  <c r="AI18" i="7"/>
  <c r="AJ18" i="7" s="1"/>
  <c r="AI29" i="7"/>
  <c r="AJ29" i="7" s="1"/>
  <c r="AI39" i="7"/>
  <c r="AJ39" i="7" s="1"/>
  <c r="AI49" i="7"/>
  <c r="AJ49" i="7" s="1"/>
  <c r="AI37" i="7"/>
  <c r="AJ37" i="7" s="1"/>
  <c r="AI16" i="7"/>
  <c r="AJ16" i="7" s="1"/>
  <c r="AI46" i="7"/>
  <c r="AJ46" i="7" s="1"/>
  <c r="AI23" i="7"/>
  <c r="AJ23" i="7" s="1"/>
  <c r="AI31" i="7"/>
  <c r="AJ31" i="7" s="1"/>
  <c r="AI17" i="7"/>
  <c r="AJ17" i="7" s="1"/>
  <c r="AI33" i="7"/>
  <c r="AJ33" i="7" s="1"/>
  <c r="AI19" i="7"/>
  <c r="AJ19" i="7" s="1"/>
  <c r="AI25" i="7"/>
  <c r="AJ25" i="7" s="1"/>
  <c r="AI35" i="7"/>
  <c r="AJ35" i="7" s="1"/>
  <c r="AR7" i="3" l="1"/>
  <c r="AR8" i="3" s="1"/>
  <c r="AR9" i="3" s="1"/>
  <c r="AR10" i="3" s="1"/>
  <c r="AR11" i="3" s="1"/>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Q4" i="3"/>
  <c r="AQ5" i="3" s="1"/>
  <c r="AQ6" i="3" s="1"/>
  <c r="AQ7" i="3" l="1"/>
  <c r="AQ8" i="3" s="1"/>
  <c r="AQ9" i="3" s="1"/>
  <c r="AQ10" i="3" s="1"/>
  <c r="AQ11" i="3" s="1"/>
  <c r="AQ12" i="3" s="1"/>
  <c r="AQ13" i="3" s="1"/>
  <c r="AQ14" i="3" s="1"/>
  <c r="AQ15" i="3" s="1"/>
  <c r="AQ16" i="3" s="1"/>
  <c r="AQ17" i="3" s="1"/>
  <c r="AQ18" i="3" s="1"/>
  <c r="AQ19" i="3" s="1"/>
  <c r="AQ20" i="3" s="1"/>
  <c r="AQ21" i="3" s="1"/>
  <c r="AQ22" i="3" s="1"/>
  <c r="AQ23" i="3" s="1"/>
  <c r="AQ24" i="3" s="1"/>
  <c r="AQ25" i="3" s="1"/>
  <c r="AQ26" i="3" s="1"/>
  <c r="AQ27" i="3" s="1"/>
  <c r="AQ28" i="3" s="1"/>
  <c r="AQ29" i="3" s="1"/>
  <c r="AQ30" i="3" s="1"/>
  <c r="AQ31" i="3" s="1"/>
  <c r="AQ32" i="3" s="1"/>
  <c r="AQ33" i="3" s="1"/>
  <c r="AV6" i="3"/>
  <c r="AV7" i="3" s="1"/>
  <c r="AV8" i="3" s="1"/>
  <c r="AV9" i="3" s="1"/>
  <c r="AV10" i="3" s="1"/>
  <c r="AV11" i="3" s="1"/>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P4" i="3" l="1"/>
  <c r="AP5" i="3" s="1"/>
  <c r="R51" i="7" l="1"/>
  <c r="P51" i="7"/>
  <c r="N33" i="12" l="1"/>
  <c r="N32" i="12"/>
  <c r="N21" i="12"/>
  <c r="N20" i="12"/>
  <c r="N49" i="13"/>
  <c r="N48" i="13"/>
  <c r="N46" i="13"/>
  <c r="N44" i="13"/>
  <c r="N43" i="13"/>
  <c r="N40" i="13"/>
  <c r="N34" i="13"/>
  <c r="N33" i="13"/>
  <c r="N32" i="13"/>
  <c r="N20" i="13"/>
  <c r="N18" i="13"/>
  <c r="N17" i="13"/>
  <c r="L21" i="13"/>
  <c r="M21" i="13"/>
  <c r="N32" i="11"/>
  <c r="N29" i="11"/>
  <c r="N28" i="11"/>
  <c r="N66" i="6"/>
  <c r="O66" i="6"/>
  <c r="N68" i="6"/>
  <c r="O68" i="6"/>
  <c r="N69" i="6"/>
  <c r="O69" i="6"/>
  <c r="N70" i="6"/>
  <c r="L17" i="12" s="1"/>
  <c r="O70" i="6"/>
  <c r="M17" i="12" s="1"/>
  <c r="N71" i="6"/>
  <c r="O71" i="6"/>
  <c r="P10" i="6"/>
  <c r="N62" i="6"/>
  <c r="O62" i="6"/>
  <c r="AF11" i="7"/>
  <c r="D26" i="13" l="1"/>
  <c r="D27" i="13" s="1"/>
  <c r="I4" i="13"/>
  <c r="I5" i="13" s="1"/>
  <c r="I6" i="13" s="1"/>
  <c r="K4" i="13"/>
  <c r="K5" i="13" s="1"/>
  <c r="K6" i="13" s="1"/>
  <c r="J4" i="13"/>
  <c r="J5" i="13" s="1"/>
  <c r="J6" i="13" s="1"/>
  <c r="F4" i="13"/>
  <c r="F5" i="13" s="1"/>
  <c r="F6" i="13" s="1"/>
  <c r="L4" i="13"/>
  <c r="L5" i="13" s="1"/>
  <c r="L6" i="13" s="1"/>
  <c r="M4" i="13"/>
  <c r="M5" i="13" s="1"/>
  <c r="M6" i="13" s="1"/>
  <c r="E4" i="13"/>
  <c r="E5" i="13" s="1"/>
  <c r="E6" i="13" s="1"/>
  <c r="G4" i="13"/>
  <c r="G5" i="13" s="1"/>
  <c r="G6" i="13" s="1"/>
  <c r="H4" i="13"/>
  <c r="H5" i="13" s="1"/>
  <c r="H6" i="13" s="1"/>
  <c r="M11" i="13"/>
  <c r="L11" i="13"/>
  <c r="N72" i="6"/>
  <c r="O72" i="6"/>
  <c r="L12" i="13" l="1"/>
  <c r="M12" i="13"/>
  <c r="O65" i="8"/>
  <c r="O64" i="8"/>
  <c r="O63" i="8"/>
  <c r="N65" i="8"/>
  <c r="N64" i="8"/>
  <c r="N63" i="8"/>
  <c r="AF12" i="8"/>
  <c r="O66" i="8" l="1"/>
  <c r="N66" i="8"/>
  <c r="F14" i="3" l="1"/>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10" i="3"/>
  <c r="F9" i="3"/>
  <c r="E13" i="7" s="1"/>
  <c r="F12" i="3"/>
  <c r="F13" i="3"/>
  <c r="F6" i="3"/>
  <c r="F7" i="3"/>
  <c r="F8" i="3"/>
  <c r="F11" i="3"/>
  <c r="F4" i="3"/>
  <c r="F5" i="3"/>
  <c r="F3" i="3"/>
  <c r="G13" i="7" l="1"/>
  <c r="F13" i="7"/>
  <c r="AI13" i="7" s="1"/>
  <c r="D13" i="7"/>
  <c r="E12" i="7"/>
  <c r="E11" i="7"/>
  <c r="F70" i="3"/>
  <c r="F71" i="3"/>
  <c r="F75" i="3"/>
  <c r="D12" i="7" l="1"/>
  <c r="F12" i="7"/>
  <c r="G12" i="7"/>
  <c r="F73" i="3"/>
  <c r="F79" i="3"/>
  <c r="F77" i="3"/>
  <c r="F76" i="3"/>
  <c r="F72" i="3"/>
  <c r="F81" i="3"/>
  <c r="F82" i="3"/>
  <c r="F74" i="3"/>
  <c r="F69" i="3"/>
  <c r="F80" i="3"/>
  <c r="F78" i="3"/>
  <c r="AI12" i="7" l="1"/>
  <c r="D66" i="6"/>
  <c r="E66" i="6"/>
  <c r="F66" i="6"/>
  <c r="G66" i="6"/>
  <c r="H66" i="6"/>
  <c r="I66" i="6"/>
  <c r="J66" i="6"/>
  <c r="K66" i="6"/>
  <c r="L66" i="6"/>
  <c r="M66" i="6"/>
  <c r="D71" i="6"/>
  <c r="E71" i="6"/>
  <c r="F71" i="6"/>
  <c r="G71" i="6"/>
  <c r="H71" i="6"/>
  <c r="I71" i="6"/>
  <c r="J71" i="6"/>
  <c r="K71" i="6"/>
  <c r="L71" i="6"/>
  <c r="M71" i="6"/>
  <c r="D69" i="6"/>
  <c r="E69" i="6"/>
  <c r="F69" i="6"/>
  <c r="G69" i="6"/>
  <c r="H69" i="6"/>
  <c r="I69" i="6"/>
  <c r="J69" i="6"/>
  <c r="K69" i="6"/>
  <c r="L69" i="6"/>
  <c r="M69" i="6"/>
  <c r="D68" i="6"/>
  <c r="E68" i="6"/>
  <c r="F68" i="6"/>
  <c r="G68" i="6"/>
  <c r="H68" i="6"/>
  <c r="I68" i="6"/>
  <c r="J68" i="6"/>
  <c r="K68" i="6"/>
  <c r="L68" i="6"/>
  <c r="M68" i="6"/>
  <c r="D70" i="6"/>
  <c r="B17" i="12" s="1"/>
  <c r="E70" i="6"/>
  <c r="C17" i="12" s="1"/>
  <c r="F70" i="6"/>
  <c r="D17" i="12" s="1"/>
  <c r="G70" i="6"/>
  <c r="E17" i="12" s="1"/>
  <c r="H70" i="6"/>
  <c r="F17" i="12" s="1"/>
  <c r="I70" i="6"/>
  <c r="G17" i="12" s="1"/>
  <c r="J70" i="6"/>
  <c r="H17" i="12" s="1"/>
  <c r="K70" i="6"/>
  <c r="I17" i="12" s="1"/>
  <c r="L70" i="6"/>
  <c r="J17" i="12" s="1"/>
  <c r="M70" i="6"/>
  <c r="K17" i="12" s="1"/>
  <c r="D12" i="8"/>
  <c r="A71" i="8"/>
  <c r="D11" i="7"/>
  <c r="C71" i="8"/>
  <c r="AP6" i="3"/>
  <c r="AP7" i="3" s="1"/>
  <c r="AP8" i="3" s="1"/>
  <c r="AP9" i="3" s="1"/>
  <c r="AP10" i="3" s="1"/>
  <c r="AP11" i="3" s="1"/>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H10" i="8"/>
  <c r="AT4" i="3"/>
  <c r="AT5" i="3" s="1"/>
  <c r="AT6" i="3" s="1"/>
  <c r="AT7" i="3" s="1"/>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U5" i="3"/>
  <c r="AU6" i="3" s="1"/>
  <c r="AU7" i="3" s="1"/>
  <c r="AU8" i="3" s="1"/>
  <c r="AU9" i="3" s="1"/>
  <c r="AU10" i="3" s="1"/>
  <c r="AU11" i="3" s="1"/>
  <c r="AU12" i="3" s="1"/>
  <c r="AU13" i="3" s="1"/>
  <c r="AU14" i="3" s="1"/>
  <c r="AU15" i="3" s="1"/>
  <c r="AU16" i="3" s="1"/>
  <c r="AU17" i="3" s="1"/>
  <c r="AU18" i="3" s="1"/>
  <c r="AU19" i="3" s="1"/>
  <c r="AU20" i="3" s="1"/>
  <c r="AU21" i="3" s="1"/>
  <c r="AU22" i="3" s="1"/>
  <c r="AU23" i="3" s="1"/>
  <c r="AU24" i="3" s="1"/>
  <c r="AU25" i="3" s="1"/>
  <c r="AU26" i="3" s="1"/>
  <c r="AU27" i="3" s="1"/>
  <c r="AU28" i="3" s="1"/>
  <c r="AU29" i="3" s="1"/>
  <c r="AU30" i="3" s="1"/>
  <c r="AU31" i="3" s="1"/>
  <c r="AU32" i="3" s="1"/>
  <c r="AU33" i="3" s="1"/>
  <c r="E3" i="3"/>
  <c r="E5" i="3"/>
  <c r="E6" i="3"/>
  <c r="B39" i="13"/>
  <c r="C39" i="13" s="1"/>
  <c r="D63" i="8"/>
  <c r="H12" i="7" s="1"/>
  <c r="E63" i="8"/>
  <c r="J12" i="7" s="1"/>
  <c r="F63" i="8"/>
  <c r="L12" i="7" s="1"/>
  <c r="G63" i="8"/>
  <c r="N12" i="7" s="1"/>
  <c r="H63" i="8"/>
  <c r="I63" i="8"/>
  <c r="J63" i="8"/>
  <c r="BD10" i="3"/>
  <c r="BD11" i="3" s="1"/>
  <c r="BD12" i="3" s="1"/>
  <c r="BD13" i="3" s="1"/>
  <c r="BD14" i="3" s="1"/>
  <c r="BD15" i="3" s="1"/>
  <c r="BD16" i="3" s="1"/>
  <c r="BD17" i="3" s="1"/>
  <c r="BD18" i="3" s="1"/>
  <c r="BD19" i="3" s="1"/>
  <c r="BD20" i="3" s="1"/>
  <c r="BD21" i="3" s="1"/>
  <c r="BD22" i="3" s="1"/>
  <c r="BD23" i="3" s="1"/>
  <c r="BD24" i="3" s="1"/>
  <c r="BD25" i="3" s="1"/>
  <c r="BD26" i="3" s="1"/>
  <c r="BD27" i="3" s="1"/>
  <c r="BD28" i="3" s="1"/>
  <c r="BD29" i="3" s="1"/>
  <c r="BD30" i="3" s="1"/>
  <c r="BD31" i="3" s="1"/>
  <c r="BD32" i="3" s="1"/>
  <c r="K63" i="8"/>
  <c r="L63" i="8"/>
  <c r="M63" i="8"/>
  <c r="D64" i="8"/>
  <c r="E64" i="8"/>
  <c r="F64" i="8"/>
  <c r="G64" i="8"/>
  <c r="H64" i="8"/>
  <c r="I64" i="8"/>
  <c r="J64" i="8"/>
  <c r="K64" i="8"/>
  <c r="L64" i="8"/>
  <c r="M64" i="8"/>
  <c r="D65" i="8"/>
  <c r="E65" i="8"/>
  <c r="F65" i="8"/>
  <c r="G65" i="8"/>
  <c r="H65" i="8"/>
  <c r="I65" i="8"/>
  <c r="J65" i="8"/>
  <c r="K65" i="8"/>
  <c r="L65" i="8"/>
  <c r="M65" i="8"/>
  <c r="H9" i="7"/>
  <c r="B21" i="13"/>
  <c r="C21" i="13"/>
  <c r="D21" i="13"/>
  <c r="E21" i="13"/>
  <c r="F21" i="13"/>
  <c r="G21" i="13"/>
  <c r="H21" i="13"/>
  <c r="I21" i="13"/>
  <c r="J21" i="13"/>
  <c r="K21" i="13"/>
  <c r="B25" i="11"/>
  <c r="C25" i="11" s="1"/>
  <c r="B30" i="13"/>
  <c r="C30" i="13" s="1"/>
  <c r="D30" i="13" s="1"/>
  <c r="E30" i="13" s="1"/>
  <c r="F30" i="13" s="1"/>
  <c r="G30" i="13" s="1"/>
  <c r="H30" i="13" s="1"/>
  <c r="I30" i="13" s="1"/>
  <c r="J30" i="13" s="1"/>
  <c r="K30" i="13" s="1"/>
  <c r="L30" i="13" s="1"/>
  <c r="M30" i="13" s="1"/>
  <c r="B16" i="13"/>
  <c r="C16" i="13" s="1"/>
  <c r="D16" i="13" s="1"/>
  <c r="E16" i="13" s="1"/>
  <c r="F16" i="13" s="1"/>
  <c r="G16" i="13" s="1"/>
  <c r="H16" i="13" s="1"/>
  <c r="I16" i="13" s="1"/>
  <c r="J16" i="13" s="1"/>
  <c r="K16" i="13" s="1"/>
  <c r="L16" i="13" s="1"/>
  <c r="M16" i="13" s="1"/>
  <c r="B8" i="13"/>
  <c r="C8" i="13" s="1"/>
  <c r="D8" i="13" s="1"/>
  <c r="E8" i="13" s="1"/>
  <c r="F8" i="13" s="1"/>
  <c r="G8" i="13" s="1"/>
  <c r="H8" i="13" s="1"/>
  <c r="I8" i="13" s="1"/>
  <c r="J8" i="13" s="1"/>
  <c r="K8" i="13" s="1"/>
  <c r="L8" i="13" s="1"/>
  <c r="M8" i="13" s="1"/>
  <c r="D69" i="8"/>
  <c r="F69" i="8" s="1"/>
  <c r="H69" i="8" s="1"/>
  <c r="J69" i="8" s="1"/>
  <c r="L69" i="8" s="1"/>
  <c r="N69" i="8" s="1"/>
  <c r="P69" i="8" s="1"/>
  <c r="R69" i="8" s="1"/>
  <c r="T69" i="8" s="1"/>
  <c r="V69" i="8" s="1"/>
  <c r="X69" i="8" s="1"/>
  <c r="Z69" i="8" s="1"/>
  <c r="E4" i="3"/>
  <c r="E76" i="3"/>
  <c r="E69" i="3"/>
  <c r="E70" i="3"/>
  <c r="E71" i="3"/>
  <c r="E72" i="3"/>
  <c r="E73" i="3"/>
  <c r="E74" i="3"/>
  <c r="E75" i="3"/>
  <c r="E77" i="3"/>
  <c r="E79" i="3"/>
  <c r="E80" i="3"/>
  <c r="E81" i="3"/>
  <c r="E82" i="3"/>
  <c r="E7" i="3"/>
  <c r="E8" i="3"/>
  <c r="E11" i="3"/>
  <c r="E10" i="3"/>
  <c r="E13" i="3"/>
  <c r="E15" i="3"/>
  <c r="E14" i="3"/>
  <c r="E16" i="3"/>
  <c r="E17" i="3"/>
  <c r="E18" i="3"/>
  <c r="E19" i="3"/>
  <c r="E20" i="3"/>
  <c r="E21" i="3"/>
  <c r="E22" i="3"/>
  <c r="E23" i="3"/>
  <c r="E25" i="3"/>
  <c r="E26" i="3"/>
  <c r="E27" i="3"/>
  <c r="E28" i="3"/>
  <c r="E30" i="3"/>
  <c r="E29" i="3"/>
  <c r="E31" i="3"/>
  <c r="E32" i="3"/>
  <c r="E33" i="3"/>
  <c r="E34" i="3"/>
  <c r="E35" i="3"/>
  <c r="E36" i="3"/>
  <c r="E37" i="3"/>
  <c r="E38" i="3"/>
  <c r="E39" i="3"/>
  <c r="E40" i="3"/>
  <c r="E41" i="3"/>
  <c r="E42" i="3"/>
  <c r="E43" i="3"/>
  <c r="E46" i="3"/>
  <c r="E48" i="3"/>
  <c r="E49" i="3"/>
  <c r="E50" i="3"/>
  <c r="E51" i="3"/>
  <c r="E52" i="3"/>
  <c r="E53" i="3"/>
  <c r="E12" i="3"/>
  <c r="E9" i="3"/>
  <c r="E54" i="3"/>
  <c r="E55" i="3"/>
  <c r="E56" i="3"/>
  <c r="E57" i="3"/>
  <c r="E58" i="3"/>
  <c r="E59" i="3"/>
  <c r="E60" i="3"/>
  <c r="E61" i="3"/>
  <c r="E62" i="3"/>
  <c r="E63" i="3"/>
  <c r="E64" i="3"/>
  <c r="E65" i="3"/>
  <c r="E66" i="3"/>
  <c r="E67" i="3"/>
  <c r="C65" i="7"/>
  <c r="E65" i="7" s="1"/>
  <c r="G65" i="7" s="1"/>
  <c r="I65" i="7" s="1"/>
  <c r="K65" i="7" s="1"/>
  <c r="M65" i="7" s="1"/>
  <c r="O65" i="7" s="1"/>
  <c r="Q65" i="7" s="1"/>
  <c r="S65" i="7" s="1"/>
  <c r="U65" i="7" s="1"/>
  <c r="W65" i="7" s="1"/>
  <c r="Y65" i="7" s="1"/>
  <c r="B14" i="12"/>
  <c r="C14" i="12" s="1"/>
  <c r="D14" i="12" s="1"/>
  <c r="E14" i="12" s="1"/>
  <c r="F14" i="12" s="1"/>
  <c r="G14" i="12" s="1"/>
  <c r="H14" i="12" s="1"/>
  <c r="I14" i="12" s="1"/>
  <c r="J14" i="12" s="1"/>
  <c r="K14" i="12" s="1"/>
  <c r="L14" i="12" s="1"/>
  <c r="M14" i="12" s="1"/>
  <c r="A112" i="11"/>
  <c r="A113" i="11"/>
  <c r="D65" i="6"/>
  <c r="N113" i="11"/>
  <c r="A114" i="11"/>
  <c r="A116" i="11"/>
  <c r="A117" i="11"/>
  <c r="A118" i="11"/>
  <c r="A119" i="11"/>
  <c r="A120" i="11"/>
  <c r="G7" i="8"/>
  <c r="G5" i="8"/>
  <c r="G4" i="8"/>
  <c r="G3" i="8"/>
  <c r="G2" i="8"/>
  <c r="G1" i="8"/>
  <c r="F7" i="7"/>
  <c r="F5" i="7"/>
  <c r="F4" i="7"/>
  <c r="F3" i="7"/>
  <c r="F2" i="7"/>
  <c r="F1" i="7"/>
  <c r="D6" i="6"/>
  <c r="D5" i="6"/>
  <c r="D4" i="6"/>
  <c r="D3" i="6"/>
  <c r="D2" i="6"/>
  <c r="D1" i="6"/>
  <c r="C3" i="11"/>
  <c r="C4" i="11"/>
  <c r="C5" i="11"/>
  <c r="C7" i="11"/>
  <c r="C2" i="11"/>
  <c r="C1" i="11"/>
  <c r="B38" i="11"/>
  <c r="C38" i="11" s="1"/>
  <c r="D38" i="11" s="1"/>
  <c r="E38" i="11" s="1"/>
  <c r="F38" i="11" s="1"/>
  <c r="G38" i="11" s="1"/>
  <c r="H38" i="11" s="1"/>
  <c r="I38" i="11" s="1"/>
  <c r="J38" i="11" s="1"/>
  <c r="K38" i="11" s="1"/>
  <c r="L38" i="11" s="1"/>
  <c r="M38" i="11" s="1"/>
  <c r="N99" i="11"/>
  <c r="N92" i="11"/>
  <c r="B14" i="11"/>
  <c r="C14" i="11" s="1"/>
  <c r="D14" i="11" s="1"/>
  <c r="E14" i="11" s="1"/>
  <c r="F14" i="11" s="1"/>
  <c r="G14" i="11" s="1"/>
  <c r="H14" i="11" s="1"/>
  <c r="I14" i="11" s="1"/>
  <c r="J14" i="11" s="1"/>
  <c r="K14" i="11" s="1"/>
  <c r="L14" i="11" s="1"/>
  <c r="M14" i="11" s="1"/>
  <c r="E62" i="6"/>
  <c r="F62" i="6"/>
  <c r="G62" i="6"/>
  <c r="H62" i="6"/>
  <c r="I62" i="6"/>
  <c r="J62" i="6"/>
  <c r="K62" i="6"/>
  <c r="L62" i="6"/>
  <c r="M62" i="6"/>
  <c r="D62" i="6"/>
  <c r="D9" i="6"/>
  <c r="E9" i="6" s="1"/>
  <c r="F9" i="6" s="1"/>
  <c r="G9" i="6" s="1"/>
  <c r="H9" i="6" s="1"/>
  <c r="I9" i="6" s="1"/>
  <c r="J9" i="6" s="1"/>
  <c r="K9" i="6" s="1"/>
  <c r="L9" i="6" s="1"/>
  <c r="M9" i="6" s="1"/>
  <c r="N9" i="6" s="1"/>
  <c r="O9" i="6" s="1"/>
  <c r="N52" i="7" l="1"/>
  <c r="N51" i="7"/>
  <c r="J52" i="7"/>
  <c r="J51" i="7"/>
  <c r="H52" i="7"/>
  <c r="AK13" i="7" s="1"/>
  <c r="H51" i="7"/>
  <c r="AJ13" i="7" s="1"/>
  <c r="L52" i="7"/>
  <c r="AF12" i="7"/>
  <c r="S15" i="11" s="1"/>
  <c r="L51" i="7"/>
  <c r="AJ12" i="7"/>
  <c r="AK12" i="7"/>
  <c r="D39" i="13"/>
  <c r="D42" i="13" s="1"/>
  <c r="C42" i="13"/>
  <c r="J11" i="13"/>
  <c r="F11" i="13"/>
  <c r="B11" i="13"/>
  <c r="I11" i="13"/>
  <c r="E11" i="13"/>
  <c r="H11" i="13"/>
  <c r="D11" i="13"/>
  <c r="K11" i="13"/>
  <c r="G11" i="13"/>
  <c r="C11" i="13"/>
  <c r="C117" i="11"/>
  <c r="G117" i="11"/>
  <c r="K117" i="11"/>
  <c r="K19" i="11" s="1"/>
  <c r="D117" i="11"/>
  <c r="D19" i="11" s="1"/>
  <c r="H117" i="11"/>
  <c r="H19" i="11" s="1"/>
  <c r="L117" i="11"/>
  <c r="L19" i="11" s="1"/>
  <c r="B117" i="11"/>
  <c r="B19" i="11" s="1"/>
  <c r="J117" i="11"/>
  <c r="J19" i="11" s="1"/>
  <c r="E117" i="11"/>
  <c r="E19" i="11" s="1"/>
  <c r="I117" i="11"/>
  <c r="I19" i="11" s="1"/>
  <c r="M117" i="11"/>
  <c r="M19" i="11" s="1"/>
  <c r="F117" i="11"/>
  <c r="F19" i="11" s="1"/>
  <c r="F116" i="11"/>
  <c r="J116" i="11"/>
  <c r="B116" i="11"/>
  <c r="C116" i="11"/>
  <c r="G116" i="11"/>
  <c r="K116" i="11"/>
  <c r="D116" i="11"/>
  <c r="H116" i="11"/>
  <c r="L116" i="11"/>
  <c r="E116" i="11"/>
  <c r="I116" i="11"/>
  <c r="M116" i="11"/>
  <c r="E119" i="11"/>
  <c r="E21" i="11" s="1"/>
  <c r="I119" i="11"/>
  <c r="I21" i="11" s="1"/>
  <c r="M119" i="11"/>
  <c r="M21" i="11" s="1"/>
  <c r="B119" i="11"/>
  <c r="B21" i="11" s="1"/>
  <c r="F119" i="11"/>
  <c r="F21" i="11" s="1"/>
  <c r="J119" i="11"/>
  <c r="J21" i="11" s="1"/>
  <c r="H119" i="11"/>
  <c r="H21" i="11" s="1"/>
  <c r="C119" i="11"/>
  <c r="C21" i="11" s="1"/>
  <c r="G119" i="11"/>
  <c r="G21" i="11" s="1"/>
  <c r="K119" i="11"/>
  <c r="K21" i="11" s="1"/>
  <c r="D119" i="11"/>
  <c r="D21" i="11" s="1"/>
  <c r="L119" i="11"/>
  <c r="L21" i="11" s="1"/>
  <c r="F114" i="11"/>
  <c r="F20" i="11" s="1"/>
  <c r="J114" i="11"/>
  <c r="J20" i="11" s="1"/>
  <c r="B114" i="11"/>
  <c r="B20" i="11" s="1"/>
  <c r="C114" i="11"/>
  <c r="G114" i="11"/>
  <c r="G20" i="11" s="1"/>
  <c r="K114" i="11"/>
  <c r="K20" i="11" s="1"/>
  <c r="I114" i="11"/>
  <c r="I20" i="11" s="1"/>
  <c r="D114" i="11"/>
  <c r="D20" i="11" s="1"/>
  <c r="H114" i="11"/>
  <c r="H20" i="11" s="1"/>
  <c r="L114" i="11"/>
  <c r="E114" i="11"/>
  <c r="E20" i="11" s="1"/>
  <c r="M114" i="11"/>
  <c r="D118" i="11"/>
  <c r="H118" i="11"/>
  <c r="H47" i="11" s="1"/>
  <c r="L118" i="11"/>
  <c r="K118" i="11"/>
  <c r="E118" i="11"/>
  <c r="E47" i="11" s="1"/>
  <c r="I118" i="11"/>
  <c r="I47" i="11" s="1"/>
  <c r="M118" i="11"/>
  <c r="G118" i="11"/>
  <c r="G47" i="11" s="1"/>
  <c r="F118" i="11"/>
  <c r="J118" i="11"/>
  <c r="J47" i="11" s="1"/>
  <c r="B118" i="11"/>
  <c r="C118" i="11"/>
  <c r="C47" i="11" s="1"/>
  <c r="N21" i="13"/>
  <c r="D88" i="7"/>
  <c r="D94" i="7"/>
  <c r="D95" i="7"/>
  <c r="D100" i="7"/>
  <c r="D104" i="7"/>
  <c r="D101" i="7"/>
  <c r="D98" i="7"/>
  <c r="D99" i="7"/>
  <c r="D93" i="7"/>
  <c r="C88" i="7"/>
  <c r="C76" i="7"/>
  <c r="C82" i="7"/>
  <c r="C80" i="7"/>
  <c r="C86" i="7"/>
  <c r="C90" i="7"/>
  <c r="C96" i="7"/>
  <c r="C103" i="7"/>
  <c r="C99" i="7"/>
  <c r="C94" i="7"/>
  <c r="C92" i="7"/>
  <c r="D97" i="7"/>
  <c r="D92" i="7"/>
  <c r="C100" i="7"/>
  <c r="D76" i="7"/>
  <c r="C72" i="7"/>
  <c r="C84" i="7"/>
  <c r="D86" i="7"/>
  <c r="C78" i="7"/>
  <c r="D70" i="7"/>
  <c r="I14" i="7" s="1"/>
  <c r="C105" i="7"/>
  <c r="C98" i="7"/>
  <c r="C104" i="7"/>
  <c r="D102" i="7"/>
  <c r="C106" i="7"/>
  <c r="D75" i="7"/>
  <c r="C87" i="7"/>
  <c r="D103" i="7"/>
  <c r="C70" i="7"/>
  <c r="C85" i="7"/>
  <c r="D77" i="7"/>
  <c r="D90" i="7"/>
  <c r="C81" i="7"/>
  <c r="C69" i="7"/>
  <c r="D72" i="7"/>
  <c r="D87" i="7"/>
  <c r="D89" i="7"/>
  <c r="D81" i="7"/>
  <c r="C89" i="7"/>
  <c r="D69" i="7"/>
  <c r="C74" i="7"/>
  <c r="C95" i="7"/>
  <c r="D71" i="7"/>
  <c r="C102" i="7"/>
  <c r="D84" i="7"/>
  <c r="C97" i="7"/>
  <c r="D78" i="7"/>
  <c r="D79" i="7"/>
  <c r="C77" i="7"/>
  <c r="C79" i="7"/>
  <c r="D85" i="7"/>
  <c r="D105" i="7"/>
  <c r="C91" i="7"/>
  <c r="D68" i="7"/>
  <c r="C68" i="7"/>
  <c r="D80" i="7"/>
  <c r="C83" i="7"/>
  <c r="D82" i="7"/>
  <c r="D106" i="7"/>
  <c r="C71" i="7"/>
  <c r="D73" i="7"/>
  <c r="D91" i="7"/>
  <c r="C75" i="7"/>
  <c r="C93" i="7"/>
  <c r="D96" i="7"/>
  <c r="C101" i="7"/>
  <c r="C73" i="7"/>
  <c r="D74" i="7"/>
  <c r="D83" i="7"/>
  <c r="D110" i="8"/>
  <c r="D109" i="8"/>
  <c r="D108" i="8"/>
  <c r="D107" i="8"/>
  <c r="D62" i="8"/>
  <c r="D81" i="8"/>
  <c r="D100" i="8"/>
  <c r="D76" i="8"/>
  <c r="E76" i="8" s="1"/>
  <c r="D89" i="8"/>
  <c r="D105" i="8"/>
  <c r="D103" i="8"/>
  <c r="D83" i="8"/>
  <c r="D98" i="8"/>
  <c r="D90" i="8"/>
  <c r="D95" i="8"/>
  <c r="D92" i="8"/>
  <c r="D84" i="8"/>
  <c r="D79" i="8"/>
  <c r="D101" i="8"/>
  <c r="D96" i="8"/>
  <c r="D88" i="8"/>
  <c r="D86" i="8"/>
  <c r="D78" i="8"/>
  <c r="E78" i="8" s="1"/>
  <c r="D91" i="8"/>
  <c r="D99" i="8"/>
  <c r="D93" i="8"/>
  <c r="D97" i="8"/>
  <c r="D85" i="8"/>
  <c r="D73" i="8"/>
  <c r="D104" i="8"/>
  <c r="D72" i="8"/>
  <c r="D94" i="8"/>
  <c r="D80" i="8"/>
  <c r="D87" i="8"/>
  <c r="D106" i="8"/>
  <c r="D77" i="8"/>
  <c r="E77" i="8" s="1"/>
  <c r="D74" i="8"/>
  <c r="D75" i="8"/>
  <c r="E75" i="8" s="1"/>
  <c r="D102" i="8"/>
  <c r="D82" i="8"/>
  <c r="D55" i="8"/>
  <c r="B92" i="11" s="1"/>
  <c r="B99" i="11" s="1"/>
  <c r="D71" i="8"/>
  <c r="C41" i="13"/>
  <c r="P63" i="8"/>
  <c r="P64" i="8"/>
  <c r="B45" i="13"/>
  <c r="P65" i="8"/>
  <c r="P70" i="6"/>
  <c r="J72" i="6"/>
  <c r="F72" i="6"/>
  <c r="P69" i="6"/>
  <c r="P71" i="6"/>
  <c r="P68" i="6"/>
  <c r="P66" i="6"/>
  <c r="D57" i="7"/>
  <c r="M72" i="6"/>
  <c r="E72" i="6"/>
  <c r="P62" i="6"/>
  <c r="I72" i="6"/>
  <c r="G72" i="6"/>
  <c r="K72" i="6"/>
  <c r="E66" i="8"/>
  <c r="C26" i="11" s="1"/>
  <c r="L66" i="8"/>
  <c r="K66" i="8"/>
  <c r="G66" i="8"/>
  <c r="M66" i="8"/>
  <c r="I66" i="8"/>
  <c r="F66" i="8"/>
  <c r="C45" i="13"/>
  <c r="D25" i="11"/>
  <c r="E25" i="11" s="1"/>
  <c r="G11" i="7"/>
  <c r="D67" i="7" s="1"/>
  <c r="F11" i="7"/>
  <c r="B113" i="11"/>
  <c r="E65" i="6"/>
  <c r="E78" i="3"/>
  <c r="B42" i="13"/>
  <c r="D41" i="13"/>
  <c r="E45" i="3"/>
  <c r="H66" i="8"/>
  <c r="E47" i="3"/>
  <c r="E44" i="3"/>
  <c r="E24" i="3"/>
  <c r="D66" i="8"/>
  <c r="B26" i="11" s="1"/>
  <c r="B41" i="13"/>
  <c r="J9" i="7"/>
  <c r="J66" i="8"/>
  <c r="J10" i="8"/>
  <c r="I25" i="7"/>
  <c r="L72" i="6"/>
  <c r="H72" i="6"/>
  <c r="D72" i="6"/>
  <c r="F28" i="12" l="1"/>
  <c r="D45" i="13"/>
  <c r="E39" i="13"/>
  <c r="E42" i="13" s="1"/>
  <c r="B106" i="11"/>
  <c r="I16" i="7"/>
  <c r="I17" i="7"/>
  <c r="I26" i="7"/>
  <c r="E102" i="8"/>
  <c r="E106" i="8"/>
  <c r="E100" i="8"/>
  <c r="E86" i="8"/>
  <c r="E103" i="8"/>
  <c r="I23" i="8" s="1"/>
  <c r="E104" i="8"/>
  <c r="I24" i="8" s="1"/>
  <c r="E98" i="8"/>
  <c r="E89" i="8"/>
  <c r="E110" i="8"/>
  <c r="I29" i="8" s="1"/>
  <c r="E97" i="8"/>
  <c r="E101" i="8"/>
  <c r="E95" i="8"/>
  <c r="E108" i="8"/>
  <c r="E87" i="8"/>
  <c r="E93" i="8"/>
  <c r="E79" i="8"/>
  <c r="E90" i="8"/>
  <c r="E105" i="8"/>
  <c r="I25" i="8" s="1"/>
  <c r="E81" i="8"/>
  <c r="I22" i="8" s="1"/>
  <c r="E109" i="8"/>
  <c r="E80" i="8"/>
  <c r="I21" i="8" s="1"/>
  <c r="E99" i="8"/>
  <c r="E88" i="8"/>
  <c r="E84" i="8"/>
  <c r="E82" i="8"/>
  <c r="E94" i="8"/>
  <c r="E85" i="8"/>
  <c r="E91" i="8"/>
  <c r="E96" i="8"/>
  <c r="E92" i="8"/>
  <c r="E83" i="8"/>
  <c r="E107" i="8"/>
  <c r="E72" i="8"/>
  <c r="I13" i="8" s="1"/>
  <c r="F12" i="13"/>
  <c r="I18" i="11"/>
  <c r="I28" i="12"/>
  <c r="G12" i="13"/>
  <c r="E12" i="13"/>
  <c r="J12" i="13"/>
  <c r="C12" i="13"/>
  <c r="K12" i="13"/>
  <c r="I12" i="13"/>
  <c r="H12" i="13"/>
  <c r="D12" i="13"/>
  <c r="F41" i="11"/>
  <c r="G41" i="11"/>
  <c r="K28" i="12"/>
  <c r="D18" i="11"/>
  <c r="C18" i="11"/>
  <c r="G18" i="11"/>
  <c r="I41" i="11"/>
  <c r="H41" i="11"/>
  <c r="G28" i="12"/>
  <c r="H28" i="12"/>
  <c r="B12" i="13"/>
  <c r="H18" i="11"/>
  <c r="G19" i="11"/>
  <c r="C120" i="11"/>
  <c r="I120" i="11"/>
  <c r="E28" i="12"/>
  <c r="K41" i="11"/>
  <c r="J18" i="11"/>
  <c r="N21" i="11"/>
  <c r="E120" i="11"/>
  <c r="B120" i="11"/>
  <c r="N114" i="11"/>
  <c r="U24" i="11" s="1"/>
  <c r="T24" i="11" s="1"/>
  <c r="K47" i="11"/>
  <c r="L18" i="11"/>
  <c r="N117" i="11"/>
  <c r="U17" i="11" s="1"/>
  <c r="E18" i="11"/>
  <c r="D120" i="11"/>
  <c r="F18" i="11"/>
  <c r="D28" i="12"/>
  <c r="K18" i="11"/>
  <c r="J41" i="11"/>
  <c r="C20" i="11"/>
  <c r="N118" i="11"/>
  <c r="M47" i="11"/>
  <c r="M28" i="12"/>
  <c r="L28" i="12"/>
  <c r="L47" i="11"/>
  <c r="F47" i="11"/>
  <c r="L120" i="11"/>
  <c r="L20" i="11"/>
  <c r="L41" i="11"/>
  <c r="K120" i="11"/>
  <c r="J120" i="11"/>
  <c r="M18" i="11"/>
  <c r="D47" i="11"/>
  <c r="M120" i="11"/>
  <c r="M41" i="11"/>
  <c r="M20" i="11"/>
  <c r="N119" i="11"/>
  <c r="J28" i="12"/>
  <c r="C41" i="11"/>
  <c r="C28" i="12"/>
  <c r="D41" i="11"/>
  <c r="E41" i="11"/>
  <c r="H120" i="11"/>
  <c r="G120" i="11"/>
  <c r="F120" i="11"/>
  <c r="N116" i="11"/>
  <c r="E73" i="8"/>
  <c r="I14" i="8" s="1"/>
  <c r="F76" i="7"/>
  <c r="E100" i="7"/>
  <c r="F104" i="7"/>
  <c r="E84" i="7"/>
  <c r="F97" i="7"/>
  <c r="E80" i="7"/>
  <c r="F70" i="7"/>
  <c r="E98" i="7"/>
  <c r="E105" i="7"/>
  <c r="F98" i="7"/>
  <c r="E103" i="7"/>
  <c r="E72" i="7"/>
  <c r="E76" i="7"/>
  <c r="E96" i="7"/>
  <c r="F95" i="7"/>
  <c r="F92" i="7"/>
  <c r="E88" i="7"/>
  <c r="F101" i="7"/>
  <c r="F100" i="7"/>
  <c r="E78" i="7"/>
  <c r="F86" i="7"/>
  <c r="F93" i="7"/>
  <c r="E86" i="7"/>
  <c r="E99" i="7"/>
  <c r="E82" i="7"/>
  <c r="E90" i="7"/>
  <c r="E94" i="7"/>
  <c r="F99" i="7"/>
  <c r="E92" i="7"/>
  <c r="F94" i="7"/>
  <c r="F88" i="7"/>
  <c r="F102" i="7"/>
  <c r="E97" i="7"/>
  <c r="F106" i="7"/>
  <c r="F78" i="7"/>
  <c r="F79" i="7"/>
  <c r="F103" i="7"/>
  <c r="E91" i="7"/>
  <c r="F68" i="7"/>
  <c r="E68" i="7"/>
  <c r="F80" i="7"/>
  <c r="E83" i="7"/>
  <c r="F82" i="7"/>
  <c r="E101" i="7"/>
  <c r="K23" i="7" s="1"/>
  <c r="F73" i="7"/>
  <c r="E77" i="7"/>
  <c r="E79" i="7"/>
  <c r="F74" i="7"/>
  <c r="E93" i="7"/>
  <c r="F96" i="7"/>
  <c r="E104" i="7"/>
  <c r="F87" i="7"/>
  <c r="E106" i="7"/>
  <c r="E71" i="7"/>
  <c r="F89" i="7"/>
  <c r="F75" i="7"/>
  <c r="E87" i="7"/>
  <c r="E73" i="7"/>
  <c r="E70" i="7"/>
  <c r="E85" i="7"/>
  <c r="F77" i="7"/>
  <c r="F83" i="7"/>
  <c r="E75" i="7"/>
  <c r="F105" i="7"/>
  <c r="F72" i="7"/>
  <c r="E89" i="7"/>
  <c r="E74" i="7"/>
  <c r="E102" i="7"/>
  <c r="E95" i="7"/>
  <c r="F81" i="7"/>
  <c r="F71" i="7"/>
  <c r="F69" i="7"/>
  <c r="E81" i="7"/>
  <c r="F84" i="7"/>
  <c r="F91" i="7"/>
  <c r="F90" i="7"/>
  <c r="E69" i="7"/>
  <c r="F85" i="7"/>
  <c r="E74" i="8"/>
  <c r="I15" i="8" s="1"/>
  <c r="D56" i="8"/>
  <c r="B100" i="11" s="1"/>
  <c r="I15" i="7"/>
  <c r="I20" i="7"/>
  <c r="I23" i="7"/>
  <c r="I24" i="7"/>
  <c r="I21" i="7"/>
  <c r="I28" i="7"/>
  <c r="I13" i="7"/>
  <c r="I22" i="7"/>
  <c r="I18" i="7"/>
  <c r="I19" i="7"/>
  <c r="F108" i="8"/>
  <c r="F110" i="8"/>
  <c r="F107" i="8"/>
  <c r="F109" i="8"/>
  <c r="F84" i="8"/>
  <c r="F89" i="8"/>
  <c r="F97" i="8"/>
  <c r="F105" i="8"/>
  <c r="F92" i="8"/>
  <c r="F72" i="8"/>
  <c r="F80" i="8"/>
  <c r="F88" i="8"/>
  <c r="F104" i="8"/>
  <c r="F76" i="8"/>
  <c r="F91" i="8"/>
  <c r="F106" i="8"/>
  <c r="F90" i="8"/>
  <c r="F82" i="8"/>
  <c r="F101" i="8"/>
  <c r="F100" i="8"/>
  <c r="F93" i="8"/>
  <c r="F73" i="8"/>
  <c r="F83" i="8"/>
  <c r="F75" i="8"/>
  <c r="F98" i="8"/>
  <c r="F94" i="8"/>
  <c r="F77" i="8"/>
  <c r="F81" i="8"/>
  <c r="F103" i="8"/>
  <c r="F102" i="8"/>
  <c r="F99" i="8"/>
  <c r="F87" i="8"/>
  <c r="F78" i="8"/>
  <c r="F96" i="8"/>
  <c r="F74" i="8"/>
  <c r="F95" i="8"/>
  <c r="F79" i="8"/>
  <c r="F85" i="8"/>
  <c r="F86" i="8"/>
  <c r="B47" i="11"/>
  <c r="I27" i="7"/>
  <c r="B41" i="11"/>
  <c r="C67" i="7"/>
  <c r="I11" i="7" s="1"/>
  <c r="AI11" i="7"/>
  <c r="I12" i="7"/>
  <c r="C19" i="11"/>
  <c r="B18" i="11"/>
  <c r="D26" i="11"/>
  <c r="B28" i="12"/>
  <c r="N10" i="13"/>
  <c r="P72" i="6"/>
  <c r="C47" i="13"/>
  <c r="P66" i="8"/>
  <c r="I19" i="8"/>
  <c r="I27" i="8"/>
  <c r="F67" i="7"/>
  <c r="E71" i="8"/>
  <c r="B47" i="13"/>
  <c r="I18" i="8"/>
  <c r="F71" i="8"/>
  <c r="L10" i="8"/>
  <c r="E55" i="8"/>
  <c r="I17" i="8"/>
  <c r="I16" i="8"/>
  <c r="K18" i="7"/>
  <c r="E67" i="7"/>
  <c r="L9" i="7"/>
  <c r="E57" i="7"/>
  <c r="E41" i="13"/>
  <c r="F39" i="13"/>
  <c r="F42" i="13" s="1"/>
  <c r="E45" i="13"/>
  <c r="C113" i="11"/>
  <c r="F65" i="6"/>
  <c r="I26" i="8"/>
  <c r="D47" i="13"/>
  <c r="F25" i="11"/>
  <c r="E26" i="11"/>
  <c r="P107" i="11" l="1"/>
  <c r="N20" i="11"/>
  <c r="K21" i="7"/>
  <c r="I28" i="8"/>
  <c r="I20" i="8"/>
  <c r="U16" i="11"/>
  <c r="T17" i="11"/>
  <c r="N19" i="11"/>
  <c r="N28" i="12"/>
  <c r="T16" i="11"/>
  <c r="U23" i="11"/>
  <c r="T23" i="11" s="1"/>
  <c r="N17" i="12"/>
  <c r="N120" i="11"/>
  <c r="N18" i="11"/>
  <c r="N47" i="11"/>
  <c r="I12" i="8"/>
  <c r="AJ11" i="7"/>
  <c r="AJ51" i="7" s="1"/>
  <c r="AK11" i="7"/>
  <c r="AK51" i="7" s="1"/>
  <c r="K27" i="7"/>
  <c r="H101" i="7"/>
  <c r="H98" i="7"/>
  <c r="H94" i="7"/>
  <c r="H95" i="7"/>
  <c r="H99" i="7"/>
  <c r="H100" i="7"/>
  <c r="H104" i="7"/>
  <c r="H92" i="7"/>
  <c r="G103" i="7"/>
  <c r="G99" i="7"/>
  <c r="G94" i="7"/>
  <c r="H88" i="7"/>
  <c r="G88" i="7"/>
  <c r="G76" i="7"/>
  <c r="H97" i="7"/>
  <c r="G82" i="7"/>
  <c r="G80" i="7"/>
  <c r="G86" i="7"/>
  <c r="H86" i="7"/>
  <c r="H76" i="7"/>
  <c r="G84" i="7"/>
  <c r="G78" i="7"/>
  <c r="H70" i="7"/>
  <c r="G90" i="7"/>
  <c r="G96" i="7"/>
  <c r="G105" i="7"/>
  <c r="G100" i="7"/>
  <c r="G98" i="7"/>
  <c r="H93" i="7"/>
  <c r="G92" i="7"/>
  <c r="G72" i="7"/>
  <c r="H80" i="7"/>
  <c r="H87" i="7"/>
  <c r="H82" i="7"/>
  <c r="G71" i="7"/>
  <c r="G101" i="7"/>
  <c r="H73" i="7"/>
  <c r="H89" i="7"/>
  <c r="G73" i="7"/>
  <c r="H74" i="7"/>
  <c r="H83" i="7"/>
  <c r="G75" i="7"/>
  <c r="H85" i="7"/>
  <c r="H105" i="7"/>
  <c r="G93" i="7"/>
  <c r="G104" i="7"/>
  <c r="G106" i="7"/>
  <c r="H75" i="7"/>
  <c r="G87" i="7"/>
  <c r="H91" i="7"/>
  <c r="G70" i="7"/>
  <c r="G85" i="7"/>
  <c r="H77" i="7"/>
  <c r="H90" i="7"/>
  <c r="G81" i="7"/>
  <c r="G69" i="7"/>
  <c r="H72" i="7"/>
  <c r="H84" i="7"/>
  <c r="H102" i="7"/>
  <c r="G83" i="7"/>
  <c r="H106" i="7"/>
  <c r="H103" i="7"/>
  <c r="H81" i="7"/>
  <c r="G89" i="7"/>
  <c r="H69" i="7"/>
  <c r="G74" i="7"/>
  <c r="G95" i="7"/>
  <c r="H71" i="7"/>
  <c r="G102" i="7"/>
  <c r="G97" i="7"/>
  <c r="G79" i="7"/>
  <c r="G91" i="7"/>
  <c r="H68" i="7"/>
  <c r="H79" i="7"/>
  <c r="H78" i="7"/>
  <c r="H96" i="7"/>
  <c r="G68" i="7"/>
  <c r="G77" i="7"/>
  <c r="K16" i="7"/>
  <c r="K12" i="7"/>
  <c r="K22" i="7"/>
  <c r="K17" i="7"/>
  <c r="K26" i="7"/>
  <c r="K13" i="7"/>
  <c r="K15" i="7"/>
  <c r="K28" i="7"/>
  <c r="K14" i="7"/>
  <c r="K19" i="7"/>
  <c r="K24" i="7"/>
  <c r="K20" i="7"/>
  <c r="K25" i="7"/>
  <c r="G95" i="8"/>
  <c r="K36" i="8" s="1"/>
  <c r="G87" i="8"/>
  <c r="K28" i="8" s="1"/>
  <c r="G81" i="8"/>
  <c r="K22" i="8" s="1"/>
  <c r="G75" i="8"/>
  <c r="K16" i="8" s="1"/>
  <c r="G100" i="8"/>
  <c r="K41" i="8" s="1"/>
  <c r="G106" i="8"/>
  <c r="K47" i="8" s="1"/>
  <c r="G88" i="8"/>
  <c r="K29" i="8" s="1"/>
  <c r="G105" i="8"/>
  <c r="K46" i="8" s="1"/>
  <c r="G109" i="8"/>
  <c r="K50" i="8" s="1"/>
  <c r="G86" i="8"/>
  <c r="K27" i="8" s="1"/>
  <c r="G74" i="8"/>
  <c r="K15" i="8" s="1"/>
  <c r="G99" i="8"/>
  <c r="K40" i="8" s="1"/>
  <c r="G77" i="8"/>
  <c r="G83" i="8"/>
  <c r="K24" i="8" s="1"/>
  <c r="G101" i="8"/>
  <c r="K42" i="8" s="1"/>
  <c r="G91" i="8"/>
  <c r="K32" i="8" s="1"/>
  <c r="G80" i="8"/>
  <c r="K21" i="8" s="1"/>
  <c r="G97" i="8"/>
  <c r="K38" i="8" s="1"/>
  <c r="G107" i="8"/>
  <c r="K48" i="8" s="1"/>
  <c r="G85" i="8"/>
  <c r="K26" i="8" s="1"/>
  <c r="G96" i="8"/>
  <c r="K37" i="8" s="1"/>
  <c r="G102" i="8"/>
  <c r="K43" i="8" s="1"/>
  <c r="G94" i="8"/>
  <c r="K35" i="8" s="1"/>
  <c r="G73" i="8"/>
  <c r="K14" i="8" s="1"/>
  <c r="G82" i="8"/>
  <c r="K23" i="8" s="1"/>
  <c r="G76" i="8"/>
  <c r="K17" i="8" s="1"/>
  <c r="G72" i="8"/>
  <c r="G89" i="8"/>
  <c r="K30" i="8" s="1"/>
  <c r="G110" i="8"/>
  <c r="K51" i="8" s="1"/>
  <c r="H110" i="8"/>
  <c r="H108" i="8"/>
  <c r="H107" i="8"/>
  <c r="H109" i="8"/>
  <c r="G79" i="8"/>
  <c r="K20" i="8" s="1"/>
  <c r="G78" i="8"/>
  <c r="G103" i="8"/>
  <c r="K44" i="8" s="1"/>
  <c r="G98" i="8"/>
  <c r="K39" i="8" s="1"/>
  <c r="G93" i="8"/>
  <c r="K34" i="8" s="1"/>
  <c r="G90" i="8"/>
  <c r="K31" i="8" s="1"/>
  <c r="G104" i="8"/>
  <c r="K45" i="8" s="1"/>
  <c r="G92" i="8"/>
  <c r="K33" i="8" s="1"/>
  <c r="G84" i="8"/>
  <c r="G108" i="8"/>
  <c r="K49" i="8" s="1"/>
  <c r="H76" i="8"/>
  <c r="H92" i="8"/>
  <c r="H85" i="8"/>
  <c r="H104" i="8"/>
  <c r="H96" i="8"/>
  <c r="H80" i="8"/>
  <c r="H101" i="8"/>
  <c r="H91" i="8"/>
  <c r="H95" i="8"/>
  <c r="H73" i="8"/>
  <c r="H74" i="8"/>
  <c r="H77" i="8"/>
  <c r="H93" i="8"/>
  <c r="H89" i="8"/>
  <c r="H81" i="8"/>
  <c r="H86" i="8"/>
  <c r="H105" i="8"/>
  <c r="H102" i="8"/>
  <c r="H98" i="8"/>
  <c r="H90" i="8"/>
  <c r="H100" i="8"/>
  <c r="H78" i="8"/>
  <c r="H103" i="8"/>
  <c r="H83" i="8"/>
  <c r="H87" i="8"/>
  <c r="H88" i="8"/>
  <c r="H72" i="8"/>
  <c r="H84" i="8"/>
  <c r="H106" i="8"/>
  <c r="H79" i="8"/>
  <c r="H82" i="8"/>
  <c r="H75" i="8"/>
  <c r="H94" i="8"/>
  <c r="H99" i="8"/>
  <c r="H97" i="8"/>
  <c r="D58" i="7"/>
  <c r="B107" i="11" s="1"/>
  <c r="D59" i="7"/>
  <c r="B108" i="11" s="1"/>
  <c r="N11" i="13"/>
  <c r="G39" i="13"/>
  <c r="G42" i="13" s="1"/>
  <c r="F41" i="13"/>
  <c r="F45" i="13"/>
  <c r="N10" i="8"/>
  <c r="H71" i="8"/>
  <c r="F55" i="8"/>
  <c r="G25" i="11"/>
  <c r="F26" i="11"/>
  <c r="G71" i="8"/>
  <c r="B51" i="13"/>
  <c r="E59" i="7"/>
  <c r="C108" i="11" s="1"/>
  <c r="N12" i="13"/>
  <c r="G67" i="7"/>
  <c r="N9" i="7"/>
  <c r="F57" i="7"/>
  <c r="H67" i="7"/>
  <c r="E58" i="7"/>
  <c r="C107" i="11" s="1"/>
  <c r="K11" i="7"/>
  <c r="D113" i="11"/>
  <c r="G65" i="6"/>
  <c r="E62" i="8"/>
  <c r="C92" i="11"/>
  <c r="D58" i="8"/>
  <c r="M21" i="7" l="1"/>
  <c r="M15" i="7"/>
  <c r="B15" i="12"/>
  <c r="B16" i="12"/>
  <c r="K19" i="8"/>
  <c r="K18" i="8"/>
  <c r="K25" i="8"/>
  <c r="B102" i="11"/>
  <c r="K13" i="8"/>
  <c r="U15" i="11"/>
  <c r="T15" i="11" s="1"/>
  <c r="M23" i="7"/>
  <c r="I90" i="7"/>
  <c r="I96" i="7"/>
  <c r="I72" i="7"/>
  <c r="I92" i="7"/>
  <c r="I78" i="7"/>
  <c r="J100" i="7"/>
  <c r="J88" i="7"/>
  <c r="I100" i="7"/>
  <c r="J101" i="7"/>
  <c r="J76" i="7"/>
  <c r="I84" i="7"/>
  <c r="J99" i="7"/>
  <c r="J95" i="7"/>
  <c r="J70" i="7"/>
  <c r="I99" i="7"/>
  <c r="I94" i="7"/>
  <c r="J92" i="7"/>
  <c r="I88" i="7"/>
  <c r="J86" i="7"/>
  <c r="J93" i="7"/>
  <c r="I98" i="7"/>
  <c r="I76" i="7"/>
  <c r="I82" i="7"/>
  <c r="I80" i="7"/>
  <c r="J104" i="7"/>
  <c r="J98" i="7"/>
  <c r="J94" i="7"/>
  <c r="I105" i="7"/>
  <c r="J97" i="7"/>
  <c r="I86" i="7"/>
  <c r="I103" i="7"/>
  <c r="I83" i="7"/>
  <c r="I71" i="7"/>
  <c r="I73" i="7"/>
  <c r="J81" i="7"/>
  <c r="I89" i="7"/>
  <c r="J69" i="7"/>
  <c r="J91" i="7"/>
  <c r="J83" i="7"/>
  <c r="I95" i="7"/>
  <c r="J90" i="7"/>
  <c r="J71" i="7"/>
  <c r="I75" i="7"/>
  <c r="J85" i="7"/>
  <c r="I102" i="7"/>
  <c r="J84" i="7"/>
  <c r="J102" i="7"/>
  <c r="O24" i="7" s="1"/>
  <c r="I97" i="7"/>
  <c r="J106" i="7"/>
  <c r="J78" i="7"/>
  <c r="J79" i="7"/>
  <c r="J103" i="7"/>
  <c r="I81" i="7"/>
  <c r="I69" i="7"/>
  <c r="I91" i="7"/>
  <c r="J68" i="7"/>
  <c r="I68" i="7"/>
  <c r="J80" i="7"/>
  <c r="J82" i="7"/>
  <c r="I101" i="7"/>
  <c r="J73" i="7"/>
  <c r="I70" i="7"/>
  <c r="J74" i="7"/>
  <c r="I93" i="7"/>
  <c r="J96" i="7"/>
  <c r="I104" i="7"/>
  <c r="J87" i="7"/>
  <c r="J77" i="7"/>
  <c r="J72" i="7"/>
  <c r="J105" i="7"/>
  <c r="I77" i="7"/>
  <c r="J75" i="7"/>
  <c r="I85" i="7"/>
  <c r="I106" i="7"/>
  <c r="J89" i="7"/>
  <c r="I79" i="7"/>
  <c r="I87" i="7"/>
  <c r="I74" i="7"/>
  <c r="M19" i="7"/>
  <c r="M26" i="7"/>
  <c r="M18" i="7"/>
  <c r="M20" i="7"/>
  <c r="M25" i="7"/>
  <c r="M24" i="7"/>
  <c r="M22" i="7"/>
  <c r="M12" i="7"/>
  <c r="M17" i="7"/>
  <c r="M14" i="7"/>
  <c r="M27" i="7"/>
  <c r="M13" i="7"/>
  <c r="M16" i="7"/>
  <c r="M28" i="7"/>
  <c r="J110" i="8"/>
  <c r="J107" i="8"/>
  <c r="K107" i="8" s="1"/>
  <c r="O48" i="8" s="1"/>
  <c r="J109" i="8"/>
  <c r="K109" i="8" s="1"/>
  <c r="O50" i="8" s="1"/>
  <c r="J108" i="8"/>
  <c r="I99" i="8"/>
  <c r="M40" i="8" s="1"/>
  <c r="I78" i="8"/>
  <c r="M19" i="8" s="1"/>
  <c r="I89" i="8"/>
  <c r="M30" i="8" s="1"/>
  <c r="I80" i="8"/>
  <c r="M21" i="8" s="1"/>
  <c r="I108" i="8"/>
  <c r="M49" i="8" s="1"/>
  <c r="I94" i="8"/>
  <c r="M35" i="8" s="1"/>
  <c r="I87" i="8"/>
  <c r="M28" i="8" s="1"/>
  <c r="I100" i="8"/>
  <c r="M41" i="8" s="1"/>
  <c r="I93" i="8"/>
  <c r="M34" i="8" s="1"/>
  <c r="I95" i="8"/>
  <c r="I96" i="8"/>
  <c r="I76" i="8"/>
  <c r="M17" i="8"/>
  <c r="I110" i="8"/>
  <c r="M51" i="8" s="1"/>
  <c r="I88" i="8"/>
  <c r="M29" i="8" s="1"/>
  <c r="I92" i="8"/>
  <c r="M33" i="8" s="1"/>
  <c r="I106" i="8"/>
  <c r="M47" i="8" s="1"/>
  <c r="I105" i="8"/>
  <c r="M46" i="8" s="1"/>
  <c r="I75" i="8"/>
  <c r="M16" i="8" s="1"/>
  <c r="I84" i="8"/>
  <c r="M25" i="8" s="1"/>
  <c r="I83" i="8"/>
  <c r="M24" i="8" s="1"/>
  <c r="I90" i="8"/>
  <c r="M31" i="8" s="1"/>
  <c r="I86" i="8"/>
  <c r="M27" i="8" s="1"/>
  <c r="I77" i="8"/>
  <c r="M18" i="8" s="1"/>
  <c r="I91" i="8"/>
  <c r="M32" i="8" s="1"/>
  <c r="I104" i="8"/>
  <c r="M45" i="8" s="1"/>
  <c r="I109" i="8"/>
  <c r="I79" i="8"/>
  <c r="M20" i="8" s="1"/>
  <c r="I102" i="8"/>
  <c r="M43" i="8" s="1"/>
  <c r="I73" i="8"/>
  <c r="M14" i="8" s="1"/>
  <c r="I97" i="8"/>
  <c r="M38" i="8" s="1"/>
  <c r="I82" i="8"/>
  <c r="M23" i="8" s="1"/>
  <c r="I72" i="8"/>
  <c r="M13" i="8" s="1"/>
  <c r="I103" i="8"/>
  <c r="M44" i="8" s="1"/>
  <c r="I98" i="8"/>
  <c r="M39" i="8" s="1"/>
  <c r="I81" i="8"/>
  <c r="M22" i="8" s="1"/>
  <c r="I74" i="8"/>
  <c r="M15" i="8" s="1"/>
  <c r="I101" i="8"/>
  <c r="M42" i="8" s="1"/>
  <c r="I85" i="8"/>
  <c r="M26" i="8" s="1"/>
  <c r="I107" i="8"/>
  <c r="M48" i="8" s="1"/>
  <c r="J85" i="8"/>
  <c r="J101" i="8"/>
  <c r="J84" i="8"/>
  <c r="J88" i="8"/>
  <c r="J93" i="8"/>
  <c r="J100" i="8"/>
  <c r="J72" i="8"/>
  <c r="J73" i="8"/>
  <c r="J77" i="8"/>
  <c r="J96" i="8"/>
  <c r="J103" i="8"/>
  <c r="J87" i="8"/>
  <c r="J78" i="8"/>
  <c r="J105" i="8"/>
  <c r="J76" i="8"/>
  <c r="J106" i="8"/>
  <c r="J81" i="8"/>
  <c r="J79" i="8"/>
  <c r="J92" i="8"/>
  <c r="J91" i="8"/>
  <c r="J75" i="8"/>
  <c r="J102" i="8"/>
  <c r="J90" i="8"/>
  <c r="J95" i="8"/>
  <c r="J86" i="8"/>
  <c r="J97" i="8"/>
  <c r="J104" i="8"/>
  <c r="J80" i="8"/>
  <c r="J98" i="8"/>
  <c r="J83" i="8"/>
  <c r="J89" i="8"/>
  <c r="J99" i="8"/>
  <c r="J94" i="8"/>
  <c r="J74" i="8"/>
  <c r="J82" i="8"/>
  <c r="B109" i="11"/>
  <c r="B94" i="11"/>
  <c r="D60" i="7"/>
  <c r="C94" i="11"/>
  <c r="C109" i="11"/>
  <c r="C106" i="11"/>
  <c r="C99" i="11"/>
  <c r="F47" i="13"/>
  <c r="F51" i="13" s="1"/>
  <c r="E113" i="11"/>
  <c r="H65" i="6"/>
  <c r="E60" i="7"/>
  <c r="F58" i="7"/>
  <c r="D107" i="11" s="1"/>
  <c r="M11" i="7"/>
  <c r="G26" i="11"/>
  <c r="H25" i="11"/>
  <c r="P9" i="7"/>
  <c r="I67" i="7"/>
  <c r="G57" i="7"/>
  <c r="J67" i="7"/>
  <c r="E58" i="8"/>
  <c r="C15" i="12" s="1"/>
  <c r="F62" i="8"/>
  <c r="D92" i="11"/>
  <c r="F59" i="7"/>
  <c r="D108" i="11" s="1"/>
  <c r="K12" i="8"/>
  <c r="I71" i="8"/>
  <c r="P10" i="8"/>
  <c r="J71" i="8"/>
  <c r="G55" i="8"/>
  <c r="G45" i="13"/>
  <c r="G41" i="13"/>
  <c r="H39" i="13"/>
  <c r="H42" i="13" s="1"/>
  <c r="O19" i="7" l="1"/>
  <c r="O17" i="7"/>
  <c r="O16" i="7"/>
  <c r="M37" i="8"/>
  <c r="M50" i="8"/>
  <c r="M36" i="8"/>
  <c r="C102" i="11"/>
  <c r="L93" i="7"/>
  <c r="L98" i="7"/>
  <c r="L94" i="7"/>
  <c r="L95" i="7"/>
  <c r="L99" i="7"/>
  <c r="L100" i="7"/>
  <c r="L104" i="7"/>
  <c r="L101" i="7"/>
  <c r="L97" i="7"/>
  <c r="L76" i="7"/>
  <c r="L86" i="7"/>
  <c r="K72" i="7"/>
  <c r="K84" i="7"/>
  <c r="K78" i="7"/>
  <c r="L70" i="7"/>
  <c r="K105" i="7"/>
  <c r="K100" i="7"/>
  <c r="K98" i="7"/>
  <c r="L88" i="7"/>
  <c r="K96" i="7"/>
  <c r="K103" i="7"/>
  <c r="K94" i="7"/>
  <c r="L92" i="7"/>
  <c r="K88" i="7"/>
  <c r="K76" i="7"/>
  <c r="K82" i="7"/>
  <c r="K80" i="7"/>
  <c r="K86" i="7"/>
  <c r="K90" i="7"/>
  <c r="K99" i="7"/>
  <c r="K92" i="7"/>
  <c r="K97" i="7"/>
  <c r="L78" i="7"/>
  <c r="L79" i="7"/>
  <c r="K77" i="7"/>
  <c r="K79" i="7"/>
  <c r="L105" i="7"/>
  <c r="K91" i="7"/>
  <c r="L84" i="7"/>
  <c r="L68" i="7"/>
  <c r="K68" i="7"/>
  <c r="L80" i="7"/>
  <c r="L82" i="7"/>
  <c r="K71" i="7"/>
  <c r="K101" i="7"/>
  <c r="L73" i="7"/>
  <c r="L103" i="7"/>
  <c r="K73" i="7"/>
  <c r="L74" i="7"/>
  <c r="K75" i="7"/>
  <c r="K93" i="7"/>
  <c r="L96" i="7"/>
  <c r="K104" i="7"/>
  <c r="L102" i="7"/>
  <c r="K106" i="7"/>
  <c r="L106" i="7"/>
  <c r="L75" i="7"/>
  <c r="K87" i="7"/>
  <c r="L91" i="7"/>
  <c r="K70" i="7"/>
  <c r="K85" i="7"/>
  <c r="L77" i="7"/>
  <c r="L83" i="7"/>
  <c r="L85" i="7"/>
  <c r="K81" i="7"/>
  <c r="K69" i="7"/>
  <c r="L72" i="7"/>
  <c r="L87" i="7"/>
  <c r="K83" i="7"/>
  <c r="L89" i="7"/>
  <c r="L90" i="7"/>
  <c r="L69" i="7"/>
  <c r="K95" i="7"/>
  <c r="L71" i="7"/>
  <c r="K89" i="7"/>
  <c r="K74" i="7"/>
  <c r="K102" i="7"/>
  <c r="L81" i="7"/>
  <c r="O26" i="7"/>
  <c r="O28" i="7"/>
  <c r="O25" i="7"/>
  <c r="O15" i="7"/>
  <c r="O23" i="7"/>
  <c r="O22" i="7"/>
  <c r="O12" i="7"/>
  <c r="O13" i="7"/>
  <c r="O20" i="7"/>
  <c r="O21" i="7"/>
  <c r="O18" i="7"/>
  <c r="O14" i="7"/>
  <c r="O27" i="7"/>
  <c r="K108" i="8"/>
  <c r="L110" i="8"/>
  <c r="L107" i="8"/>
  <c r="L108" i="8"/>
  <c r="L109" i="8"/>
  <c r="M109" i="8" s="1"/>
  <c r="Q50" i="8" s="1"/>
  <c r="K110" i="8"/>
  <c r="O51" i="8" s="1"/>
  <c r="K80" i="8"/>
  <c r="O21" i="8" s="1"/>
  <c r="K91" i="8"/>
  <c r="O32" i="8" s="1"/>
  <c r="K73" i="8"/>
  <c r="O14" i="8" s="1"/>
  <c r="K88" i="8"/>
  <c r="O29" i="8" s="1"/>
  <c r="K82" i="8"/>
  <c r="O23" i="8" s="1"/>
  <c r="K89" i="8"/>
  <c r="O30" i="8" s="1"/>
  <c r="K104" i="8"/>
  <c r="O45" i="8" s="1"/>
  <c r="K90" i="8"/>
  <c r="O31" i="8" s="1"/>
  <c r="K92" i="8"/>
  <c r="O33" i="8" s="1"/>
  <c r="K76" i="8"/>
  <c r="O17" i="8" s="1"/>
  <c r="K103" i="8"/>
  <c r="O44" i="8" s="1"/>
  <c r="K72" i="8"/>
  <c r="O13" i="8" s="1"/>
  <c r="K84" i="8"/>
  <c r="O25" i="8" s="1"/>
  <c r="K99" i="8"/>
  <c r="O40" i="8" s="1"/>
  <c r="K106" i="8"/>
  <c r="O47" i="8" s="1"/>
  <c r="K74" i="8"/>
  <c r="O15" i="8" s="1"/>
  <c r="K83" i="8"/>
  <c r="O24" i="8" s="1"/>
  <c r="K97" i="8"/>
  <c r="O38" i="8" s="1"/>
  <c r="K102" i="8"/>
  <c r="O43" i="8" s="1"/>
  <c r="K79" i="8"/>
  <c r="O20" i="8" s="1"/>
  <c r="K105" i="8"/>
  <c r="O46" i="8" s="1"/>
  <c r="K96" i="8"/>
  <c r="O37" i="8" s="1"/>
  <c r="K100" i="8"/>
  <c r="O41" i="8" s="1"/>
  <c r="K101" i="8"/>
  <c r="O42" i="8" s="1"/>
  <c r="K95" i="8"/>
  <c r="O36" i="8" s="1"/>
  <c r="K87" i="8"/>
  <c r="O28" i="8" s="1"/>
  <c r="K94" i="8"/>
  <c r="O35" i="8" s="1"/>
  <c r="K98" i="8"/>
  <c r="O39" i="8" s="1"/>
  <c r="K86" i="8"/>
  <c r="O27" i="8" s="1"/>
  <c r="K75" i="8"/>
  <c r="O16" i="8" s="1"/>
  <c r="K81" i="8"/>
  <c r="K78" i="8"/>
  <c r="K77" i="8"/>
  <c r="O18" i="8" s="1"/>
  <c r="K93" i="8"/>
  <c r="O34" i="8" s="1"/>
  <c r="K85" i="8"/>
  <c r="O26" i="8" s="1"/>
  <c r="L73" i="8"/>
  <c r="L77" i="8"/>
  <c r="L80" i="8"/>
  <c r="L88" i="8"/>
  <c r="L93" i="8"/>
  <c r="L104" i="8"/>
  <c r="L81" i="8"/>
  <c r="L97" i="8"/>
  <c r="L100" i="8"/>
  <c r="L91" i="8"/>
  <c r="L75" i="8"/>
  <c r="L102" i="8"/>
  <c r="L87" i="8"/>
  <c r="L76" i="8"/>
  <c r="L103" i="8"/>
  <c r="L94" i="8"/>
  <c r="L99" i="8"/>
  <c r="L95" i="8"/>
  <c r="L105" i="8"/>
  <c r="L82" i="8"/>
  <c r="L92" i="8"/>
  <c r="L84" i="8"/>
  <c r="L72" i="8"/>
  <c r="L106" i="8"/>
  <c r="L79" i="8"/>
  <c r="L89" i="8"/>
  <c r="L86" i="8"/>
  <c r="L74" i="8"/>
  <c r="L83" i="8"/>
  <c r="L85" i="8"/>
  <c r="L98" i="8"/>
  <c r="L90" i="8"/>
  <c r="L78" i="8"/>
  <c r="L96" i="8"/>
  <c r="L101" i="8"/>
  <c r="D94" i="11"/>
  <c r="D109" i="11"/>
  <c r="B95" i="11"/>
  <c r="D99" i="11"/>
  <c r="D106" i="11"/>
  <c r="L71" i="8"/>
  <c r="R10" i="8"/>
  <c r="H55" i="8"/>
  <c r="H41" i="13"/>
  <c r="I39" i="13"/>
  <c r="I42" i="13" s="1"/>
  <c r="H45" i="13"/>
  <c r="F58" i="8"/>
  <c r="G58" i="7"/>
  <c r="E107" i="11" s="1"/>
  <c r="O11" i="7"/>
  <c r="H26" i="11"/>
  <c r="I25" i="11"/>
  <c r="F60" i="7"/>
  <c r="K67" i="7"/>
  <c r="R9" i="7"/>
  <c r="H57" i="7"/>
  <c r="L67" i="7"/>
  <c r="G35" i="13"/>
  <c r="G30" i="11"/>
  <c r="G47" i="13"/>
  <c r="G62" i="8"/>
  <c r="E92" i="11"/>
  <c r="K71" i="8"/>
  <c r="M12" i="8"/>
  <c r="F113" i="11"/>
  <c r="I65" i="6"/>
  <c r="G59" i="7"/>
  <c r="E108" i="11" s="1"/>
  <c r="D15" i="12" l="1"/>
  <c r="Q22" i="7"/>
  <c r="Q26" i="7"/>
  <c r="O19" i="8"/>
  <c r="O22" i="8"/>
  <c r="O49" i="8"/>
  <c r="D102" i="11"/>
  <c r="O12" i="8"/>
  <c r="Q23" i="7"/>
  <c r="N92" i="7"/>
  <c r="M88" i="7"/>
  <c r="M76" i="7"/>
  <c r="M82" i="7"/>
  <c r="M80" i="7"/>
  <c r="N99" i="7"/>
  <c r="N95" i="7"/>
  <c r="N86" i="7"/>
  <c r="N93" i="7"/>
  <c r="M86" i="7"/>
  <c r="M99" i="7"/>
  <c r="M94" i="7"/>
  <c r="M90" i="7"/>
  <c r="M96" i="7"/>
  <c r="M92" i="7"/>
  <c r="N104" i="7"/>
  <c r="N98" i="7"/>
  <c r="N94" i="7"/>
  <c r="N88" i="7"/>
  <c r="M105" i="7"/>
  <c r="N100" i="7"/>
  <c r="M100" i="7"/>
  <c r="N76" i="7"/>
  <c r="M72" i="7"/>
  <c r="M84" i="7"/>
  <c r="M78" i="7"/>
  <c r="N101" i="7"/>
  <c r="N97" i="7"/>
  <c r="N70" i="7"/>
  <c r="M103" i="7"/>
  <c r="M98" i="7"/>
  <c r="M104" i="7"/>
  <c r="N87" i="7"/>
  <c r="M106" i="7"/>
  <c r="N89" i="7"/>
  <c r="N75" i="7"/>
  <c r="M87" i="7"/>
  <c r="M70" i="7"/>
  <c r="M85" i="7"/>
  <c r="N77" i="7"/>
  <c r="N105" i="7"/>
  <c r="M93" i="7"/>
  <c r="N72" i="7"/>
  <c r="M83" i="7"/>
  <c r="M77" i="7"/>
  <c r="M79" i="7"/>
  <c r="N81" i="7"/>
  <c r="M89" i="7"/>
  <c r="N69" i="7"/>
  <c r="N91" i="7"/>
  <c r="M74" i="7"/>
  <c r="N83" i="7"/>
  <c r="M95" i="7"/>
  <c r="N90" i="7"/>
  <c r="N71" i="7"/>
  <c r="N85" i="7"/>
  <c r="M102" i="7"/>
  <c r="N84" i="7"/>
  <c r="N102" i="7"/>
  <c r="M97" i="7"/>
  <c r="N106" i="7"/>
  <c r="M71" i="7"/>
  <c r="N78" i="7"/>
  <c r="N79" i="7"/>
  <c r="N103" i="7"/>
  <c r="M73" i="7"/>
  <c r="M75" i="7"/>
  <c r="M91" i="7"/>
  <c r="N68" i="7"/>
  <c r="M68" i="7"/>
  <c r="N80" i="7"/>
  <c r="N82" i="7"/>
  <c r="M101" i="7"/>
  <c r="M81" i="7"/>
  <c r="N74" i="7"/>
  <c r="N73" i="7"/>
  <c r="M69" i="7"/>
  <c r="N96" i="7"/>
  <c r="Q19" i="7"/>
  <c r="Q28" i="7"/>
  <c r="Q21" i="7"/>
  <c r="Q16" i="7"/>
  <c r="Q20" i="7"/>
  <c r="Q25" i="7"/>
  <c r="Q15" i="7"/>
  <c r="Q24" i="7"/>
  <c r="Q12" i="7"/>
  <c r="Q17" i="7"/>
  <c r="Q18" i="7"/>
  <c r="Q14" i="7"/>
  <c r="Q27" i="7"/>
  <c r="Q13" i="7"/>
  <c r="M107" i="8"/>
  <c r="Q48" i="8" s="1"/>
  <c r="M110" i="8"/>
  <c r="Q51" i="8" s="1"/>
  <c r="N108" i="8"/>
  <c r="N109" i="8"/>
  <c r="O109" i="8" s="1"/>
  <c r="S50" i="8" s="1"/>
  <c r="N107" i="8"/>
  <c r="O107" i="8" s="1"/>
  <c r="S48" i="8" s="1"/>
  <c r="N110" i="8"/>
  <c r="O110" i="8" s="1"/>
  <c r="S51" i="8" s="1"/>
  <c r="M108" i="8"/>
  <c r="Q49" i="8" s="1"/>
  <c r="M98" i="8"/>
  <c r="Q39" i="8" s="1"/>
  <c r="M72" i="8"/>
  <c r="Q13" i="8" s="1"/>
  <c r="M103" i="8"/>
  <c r="Q44" i="8" s="1"/>
  <c r="M81" i="8"/>
  <c r="Q22" i="8" s="1"/>
  <c r="M80" i="8"/>
  <c r="Q21" i="8" s="1"/>
  <c r="M96" i="8"/>
  <c r="Q37" i="8" s="1"/>
  <c r="M89" i="8"/>
  <c r="Q30" i="8" s="1"/>
  <c r="M95" i="8"/>
  <c r="Q36" i="8" s="1"/>
  <c r="M76" i="8"/>
  <c r="Q17" i="8" s="1"/>
  <c r="M77" i="8"/>
  <c r="Q18" i="8" s="1"/>
  <c r="M78" i="8"/>
  <c r="Q19" i="8" s="1"/>
  <c r="M79" i="8"/>
  <c r="Q20" i="8" s="1"/>
  <c r="M87" i="8"/>
  <c r="Q28" i="8" s="1"/>
  <c r="M101" i="8"/>
  <c r="Q42" i="8" s="1"/>
  <c r="M86" i="8"/>
  <c r="Q27" i="8" s="1"/>
  <c r="M105" i="8"/>
  <c r="Q46" i="8" s="1"/>
  <c r="M75" i="8"/>
  <c r="Q16" i="8" s="1"/>
  <c r="M85" i="8"/>
  <c r="Q26" i="8" s="1"/>
  <c r="M84" i="8"/>
  <c r="Q25" i="8" s="1"/>
  <c r="M91" i="8"/>
  <c r="Q32" i="8" s="1"/>
  <c r="M104" i="8"/>
  <c r="Q45" i="8" s="1"/>
  <c r="M83" i="8"/>
  <c r="Q24" i="8" s="1"/>
  <c r="M92" i="8"/>
  <c r="Q33" i="8" s="1"/>
  <c r="M99" i="8"/>
  <c r="Q40" i="8" s="1"/>
  <c r="M100" i="8"/>
  <c r="Q41" i="8" s="1"/>
  <c r="M93" i="8"/>
  <c r="Q34" i="8" s="1"/>
  <c r="M73" i="8"/>
  <c r="Q14" i="8" s="1"/>
  <c r="M90" i="8"/>
  <c r="Q31" i="8" s="1"/>
  <c r="M74" i="8"/>
  <c r="Q15" i="8" s="1"/>
  <c r="M106" i="8"/>
  <c r="Q47" i="8" s="1"/>
  <c r="M82" i="8"/>
  <c r="Q23" i="8" s="1"/>
  <c r="M94" i="8"/>
  <c r="Q35" i="8" s="1"/>
  <c r="M102" i="8"/>
  <c r="Q43" i="8" s="1"/>
  <c r="M97" i="8"/>
  <c r="Q38" i="8" s="1"/>
  <c r="M88" i="8"/>
  <c r="Q29" i="8" s="1"/>
  <c r="N81" i="8"/>
  <c r="N97" i="8"/>
  <c r="N92" i="8"/>
  <c r="N84" i="8"/>
  <c r="N76" i="8"/>
  <c r="N89" i="8"/>
  <c r="N105" i="8"/>
  <c r="N96" i="8"/>
  <c r="N88" i="8"/>
  <c r="N85" i="8"/>
  <c r="N86" i="8"/>
  <c r="N103" i="8"/>
  <c r="N91" i="8"/>
  <c r="N75" i="8"/>
  <c r="N102" i="8"/>
  <c r="N90" i="8"/>
  <c r="N95" i="8"/>
  <c r="N87" i="8"/>
  <c r="N82" i="8"/>
  <c r="N74" i="8"/>
  <c r="N101" i="8"/>
  <c r="N100" i="8"/>
  <c r="N104" i="8"/>
  <c r="N83" i="8"/>
  <c r="N106" i="8"/>
  <c r="N98" i="8"/>
  <c r="N94" i="8"/>
  <c r="N79" i="8"/>
  <c r="N80" i="8"/>
  <c r="N77" i="8"/>
  <c r="N78" i="8"/>
  <c r="N72" i="8"/>
  <c r="N93" i="8"/>
  <c r="N99" i="8"/>
  <c r="N73" i="8"/>
  <c r="C95" i="11"/>
  <c r="E94" i="11"/>
  <c r="E109" i="11"/>
  <c r="B17" i="11"/>
  <c r="B46" i="11"/>
  <c r="E106" i="11"/>
  <c r="E99" i="11"/>
  <c r="H58" i="7"/>
  <c r="Q11" i="7"/>
  <c r="G60" i="7"/>
  <c r="I41" i="13"/>
  <c r="I45" i="13"/>
  <c r="J39" i="13"/>
  <c r="J42" i="13" s="1"/>
  <c r="H62" i="8"/>
  <c r="F92" i="11"/>
  <c r="M71" i="8"/>
  <c r="G51" i="13"/>
  <c r="G39" i="11"/>
  <c r="G113" i="11"/>
  <c r="J65" i="6"/>
  <c r="H47" i="13"/>
  <c r="H51" i="13" s="1"/>
  <c r="J25" i="11"/>
  <c r="I26" i="11"/>
  <c r="G58" i="8"/>
  <c r="E15" i="12" s="1"/>
  <c r="H59" i="7"/>
  <c r="M67" i="7"/>
  <c r="T9" i="7"/>
  <c r="I57" i="7"/>
  <c r="N67" i="7"/>
  <c r="H35" i="13"/>
  <c r="H30" i="11"/>
  <c r="T10" i="8"/>
  <c r="N71" i="8"/>
  <c r="I55" i="8"/>
  <c r="S19" i="7" l="1"/>
  <c r="S16" i="7"/>
  <c r="E102" i="11"/>
  <c r="F108" i="11"/>
  <c r="F107" i="11"/>
  <c r="F94" i="11" s="1"/>
  <c r="P99" i="7"/>
  <c r="P101" i="7"/>
  <c r="P94" i="7"/>
  <c r="P95" i="7"/>
  <c r="P98" i="7"/>
  <c r="P100" i="7"/>
  <c r="P104" i="7"/>
  <c r="P92" i="7"/>
  <c r="O90" i="7"/>
  <c r="O96" i="7"/>
  <c r="O105" i="7"/>
  <c r="O100" i="7"/>
  <c r="O98" i="7"/>
  <c r="P86" i="7"/>
  <c r="O92" i="7"/>
  <c r="P97" i="7"/>
  <c r="P88" i="7"/>
  <c r="O86" i="7"/>
  <c r="P76" i="7"/>
  <c r="O72" i="7"/>
  <c r="O84" i="7"/>
  <c r="O78" i="7"/>
  <c r="P70" i="7"/>
  <c r="O76" i="7"/>
  <c r="O82" i="7"/>
  <c r="O103" i="7"/>
  <c r="O99" i="7"/>
  <c r="O94" i="7"/>
  <c r="P93" i="7"/>
  <c r="O88" i="7"/>
  <c r="O80" i="7"/>
  <c r="P87" i="7"/>
  <c r="O83" i="7"/>
  <c r="P106" i="7"/>
  <c r="P89" i="7"/>
  <c r="P81" i="7"/>
  <c r="O89" i="7"/>
  <c r="P69" i="7"/>
  <c r="O74" i="7"/>
  <c r="O95" i="7"/>
  <c r="P71" i="7"/>
  <c r="O102" i="7"/>
  <c r="P96" i="7"/>
  <c r="P102" i="7"/>
  <c r="O97" i="7"/>
  <c r="P78" i="7"/>
  <c r="P79" i="7"/>
  <c r="O77" i="7"/>
  <c r="O79" i="7"/>
  <c r="P91" i="7"/>
  <c r="P83" i="7"/>
  <c r="P90" i="7"/>
  <c r="P85" i="7"/>
  <c r="O91" i="7"/>
  <c r="P68" i="7"/>
  <c r="O68" i="7"/>
  <c r="P80" i="7"/>
  <c r="P82" i="7"/>
  <c r="O71" i="7"/>
  <c r="O101" i="7"/>
  <c r="P73" i="7"/>
  <c r="O73" i="7"/>
  <c r="P74" i="7"/>
  <c r="O75" i="7"/>
  <c r="O93" i="7"/>
  <c r="P84" i="7"/>
  <c r="O104" i="7"/>
  <c r="O106" i="7"/>
  <c r="P105" i="7"/>
  <c r="O87" i="7"/>
  <c r="O69" i="7"/>
  <c r="O85" i="7"/>
  <c r="O70" i="7"/>
  <c r="P77" i="7"/>
  <c r="O81" i="7"/>
  <c r="P72" i="7"/>
  <c r="P75" i="7"/>
  <c r="P103" i="7"/>
  <c r="S21" i="7"/>
  <c r="S22" i="7"/>
  <c r="S17" i="7"/>
  <c r="S23" i="7"/>
  <c r="S25" i="7"/>
  <c r="S18" i="7"/>
  <c r="S12" i="7"/>
  <c r="S27" i="7"/>
  <c r="S24" i="7"/>
  <c r="S15" i="7"/>
  <c r="S14" i="7"/>
  <c r="S13" i="7"/>
  <c r="S20" i="7"/>
  <c r="S28" i="7"/>
  <c r="S26" i="7"/>
  <c r="P108" i="8"/>
  <c r="P110" i="8"/>
  <c r="P109" i="8"/>
  <c r="P107" i="8"/>
  <c r="O108" i="8"/>
  <c r="S49" i="8" s="1"/>
  <c r="O99" i="8"/>
  <c r="S40" i="8" s="1"/>
  <c r="O98" i="8"/>
  <c r="S39" i="8" s="1"/>
  <c r="O87" i="8"/>
  <c r="S28" i="8" s="1"/>
  <c r="O85" i="8"/>
  <c r="S26" i="8" s="1"/>
  <c r="O89" i="8"/>
  <c r="S30" i="8" s="1"/>
  <c r="O106" i="8"/>
  <c r="S47" i="8" s="1"/>
  <c r="O72" i="8"/>
  <c r="S13" i="8" s="1"/>
  <c r="O79" i="8"/>
  <c r="S20" i="8" s="1"/>
  <c r="O83" i="8"/>
  <c r="S24" i="8" s="1"/>
  <c r="O74" i="8"/>
  <c r="S15" i="8" s="1"/>
  <c r="O90" i="8"/>
  <c r="S31" i="8" s="1"/>
  <c r="O103" i="8"/>
  <c r="S44" i="8" s="1"/>
  <c r="O96" i="8"/>
  <c r="S37" i="8" s="1"/>
  <c r="O84" i="8"/>
  <c r="S25" i="8" s="1"/>
  <c r="O77" i="8"/>
  <c r="S18" i="8" s="1"/>
  <c r="O100" i="8"/>
  <c r="S41" i="8" s="1"/>
  <c r="O75" i="8"/>
  <c r="S16" i="8" s="1"/>
  <c r="O97" i="8"/>
  <c r="S38" i="8" s="1"/>
  <c r="O93" i="8"/>
  <c r="S34" i="8" s="1"/>
  <c r="O80" i="8"/>
  <c r="S21" i="8" s="1"/>
  <c r="O101" i="8"/>
  <c r="S42" i="8" s="1"/>
  <c r="O95" i="8"/>
  <c r="S36" i="8" s="1"/>
  <c r="O91" i="8"/>
  <c r="S32" i="8" s="1"/>
  <c r="O88" i="8"/>
  <c r="S29" i="8" s="1"/>
  <c r="O76" i="8"/>
  <c r="S17" i="8" s="1"/>
  <c r="O81" i="8"/>
  <c r="S22" i="8" s="1"/>
  <c r="O73" i="8"/>
  <c r="S14" i="8" s="1"/>
  <c r="O78" i="8"/>
  <c r="S19" i="8" s="1"/>
  <c r="O94" i="8"/>
  <c r="S35" i="8" s="1"/>
  <c r="O104" i="8"/>
  <c r="S45" i="8" s="1"/>
  <c r="O82" i="8"/>
  <c r="S23" i="8" s="1"/>
  <c r="O102" i="8"/>
  <c r="S43" i="8" s="1"/>
  <c r="O86" i="8"/>
  <c r="S27" i="8" s="1"/>
  <c r="O105" i="8"/>
  <c r="S46" i="8" s="1"/>
  <c r="O92" i="8"/>
  <c r="S33" i="8" s="1"/>
  <c r="P84" i="8"/>
  <c r="P100" i="8"/>
  <c r="P105" i="8"/>
  <c r="P80" i="8"/>
  <c r="P96" i="8"/>
  <c r="P104" i="8"/>
  <c r="P76" i="8"/>
  <c r="P72" i="8"/>
  <c r="P92" i="8"/>
  <c r="P106" i="8"/>
  <c r="P98" i="8"/>
  <c r="P94" i="8"/>
  <c r="P99" i="8"/>
  <c r="P87" i="8"/>
  <c r="P79" i="8"/>
  <c r="P73" i="8"/>
  <c r="P101" i="8"/>
  <c r="P78" i="8"/>
  <c r="P83" i="8"/>
  <c r="P77" i="8"/>
  <c r="P85" i="8"/>
  <c r="P89" i="8"/>
  <c r="P81" i="8"/>
  <c r="P74" i="8"/>
  <c r="P75" i="8"/>
  <c r="P95" i="8"/>
  <c r="P82" i="8"/>
  <c r="P97" i="8"/>
  <c r="P86" i="8"/>
  <c r="P103" i="8"/>
  <c r="P102" i="8"/>
  <c r="P91" i="8"/>
  <c r="P90" i="8"/>
  <c r="P93" i="8"/>
  <c r="P88" i="8"/>
  <c r="C46" i="11"/>
  <c r="C17" i="11"/>
  <c r="D95" i="11"/>
  <c r="D17" i="11" s="1"/>
  <c r="F106" i="11"/>
  <c r="F99" i="11"/>
  <c r="V10" i="8"/>
  <c r="P71" i="8"/>
  <c r="J55" i="8"/>
  <c r="I62" i="8"/>
  <c r="G92" i="11"/>
  <c r="H39" i="11"/>
  <c r="I59" i="7"/>
  <c r="G108" i="11" s="1"/>
  <c r="O67" i="7"/>
  <c r="V9" i="7"/>
  <c r="J57" i="7"/>
  <c r="P67" i="7"/>
  <c r="K25" i="11"/>
  <c r="J26" i="11"/>
  <c r="H113" i="11"/>
  <c r="K65" i="6"/>
  <c r="H58" i="8"/>
  <c r="J41" i="13"/>
  <c r="J45" i="13"/>
  <c r="K39" i="13"/>
  <c r="H60" i="7"/>
  <c r="O71" i="8"/>
  <c r="I58" i="7"/>
  <c r="G107" i="11" s="1"/>
  <c r="S11" i="7"/>
  <c r="Q12" i="8"/>
  <c r="I47" i="13"/>
  <c r="I51" i="13" s="1"/>
  <c r="I35" i="13"/>
  <c r="I30" i="11"/>
  <c r="F15" i="12" l="1"/>
  <c r="U23" i="7"/>
  <c r="U15" i="7"/>
  <c r="F102" i="11"/>
  <c r="F109" i="11"/>
  <c r="L39" i="13"/>
  <c r="L42" i="13" s="1"/>
  <c r="K42" i="13"/>
  <c r="S12" i="8"/>
  <c r="R104" i="7"/>
  <c r="R98" i="7"/>
  <c r="R94" i="7"/>
  <c r="Q105" i="7"/>
  <c r="Q78" i="7"/>
  <c r="R95" i="7"/>
  <c r="R70" i="7"/>
  <c r="R92" i="7"/>
  <c r="Q88" i="7"/>
  <c r="Q76" i="7"/>
  <c r="Q82" i="7"/>
  <c r="Q80" i="7"/>
  <c r="R101" i="7"/>
  <c r="R97" i="7"/>
  <c r="R86" i="7"/>
  <c r="R93" i="7"/>
  <c r="Q86" i="7"/>
  <c r="Q103" i="7"/>
  <c r="Q98" i="7"/>
  <c r="Q90" i="7"/>
  <c r="Q96" i="7"/>
  <c r="Q92" i="7"/>
  <c r="R100" i="7"/>
  <c r="R88" i="7"/>
  <c r="Q100" i="7"/>
  <c r="R76" i="7"/>
  <c r="Q72" i="7"/>
  <c r="Q84" i="7"/>
  <c r="R99" i="7"/>
  <c r="Q99" i="7"/>
  <c r="Q94" i="7"/>
  <c r="R80" i="7"/>
  <c r="R82" i="7"/>
  <c r="Q101" i="7"/>
  <c r="R73" i="7"/>
  <c r="Q77" i="7"/>
  <c r="Q79" i="7"/>
  <c r="R74" i="7"/>
  <c r="R96" i="7"/>
  <c r="W18" i="7" s="1"/>
  <c r="Q104" i="7"/>
  <c r="R87" i="7"/>
  <c r="Q106" i="7"/>
  <c r="Q71" i="7"/>
  <c r="R89" i="7"/>
  <c r="R75" i="7"/>
  <c r="Q87" i="7"/>
  <c r="Q73" i="7"/>
  <c r="Q70" i="7"/>
  <c r="Q85" i="7"/>
  <c r="R77" i="7"/>
  <c r="Q75" i="7"/>
  <c r="R105" i="7"/>
  <c r="R72" i="7"/>
  <c r="Q83" i="7"/>
  <c r="R81" i="7"/>
  <c r="Q89" i="7"/>
  <c r="R69" i="7"/>
  <c r="R91" i="7"/>
  <c r="Q74" i="7"/>
  <c r="R83" i="7"/>
  <c r="Q95" i="7"/>
  <c r="R90" i="7"/>
  <c r="R71" i="7"/>
  <c r="R85" i="7"/>
  <c r="Q81" i="7"/>
  <c r="Q69" i="7"/>
  <c r="Q102" i="7"/>
  <c r="R84" i="7"/>
  <c r="R102" i="7"/>
  <c r="Q97" i="7"/>
  <c r="R106" i="7"/>
  <c r="R79" i="7"/>
  <c r="R103" i="7"/>
  <c r="Q91" i="7"/>
  <c r="Q68" i="7"/>
  <c r="R78" i="7"/>
  <c r="Q93" i="7"/>
  <c r="R68" i="7"/>
  <c r="U12" i="7"/>
  <c r="U28" i="7"/>
  <c r="U26" i="7"/>
  <c r="U20" i="7"/>
  <c r="U13" i="7"/>
  <c r="U19" i="7"/>
  <c r="U21" i="7"/>
  <c r="U17" i="7"/>
  <c r="U16" i="7"/>
  <c r="U14" i="7"/>
  <c r="U27" i="7"/>
  <c r="U22" i="7"/>
  <c r="U24" i="7"/>
  <c r="U25" i="7"/>
  <c r="U18" i="7"/>
  <c r="R110" i="8"/>
  <c r="R109" i="8"/>
  <c r="S109" i="8" s="1"/>
  <c r="W50" i="8" s="1"/>
  <c r="R107" i="8"/>
  <c r="R108" i="8"/>
  <c r="Q109" i="8"/>
  <c r="U50" i="8" s="1"/>
  <c r="Q107" i="8"/>
  <c r="U48" i="8" s="1"/>
  <c r="Q110" i="8"/>
  <c r="U51" i="8" s="1"/>
  <c r="Q108" i="8"/>
  <c r="U49" i="8" s="1"/>
  <c r="Q103" i="8"/>
  <c r="U44" i="8" s="1"/>
  <c r="Q89" i="8"/>
  <c r="U30" i="8" s="1"/>
  <c r="Q104" i="8"/>
  <c r="U45" i="8" s="1"/>
  <c r="Q90" i="8"/>
  <c r="U31" i="8" s="1"/>
  <c r="Q75" i="8"/>
  <c r="U16" i="8" s="1"/>
  <c r="Q101" i="8"/>
  <c r="U42" i="8" s="1"/>
  <c r="Q92" i="8"/>
  <c r="U33" i="8" s="1"/>
  <c r="Q72" i="8"/>
  <c r="U13" i="8" s="1"/>
  <c r="Q80" i="8"/>
  <c r="U21" i="8" s="1"/>
  <c r="Q93" i="8"/>
  <c r="U34" i="8" s="1"/>
  <c r="Q95" i="8"/>
  <c r="U36" i="8" s="1"/>
  <c r="Q78" i="8"/>
  <c r="U19" i="8" s="1"/>
  <c r="Q87" i="8"/>
  <c r="U28" i="8" s="1"/>
  <c r="Q106" i="8"/>
  <c r="U47" i="8" s="1"/>
  <c r="Q100" i="8"/>
  <c r="U41" i="8" s="1"/>
  <c r="Q86" i="8"/>
  <c r="U27" i="8" s="1"/>
  <c r="Q85" i="8"/>
  <c r="U26" i="8" s="1"/>
  <c r="Q99" i="8"/>
  <c r="U40" i="8" s="1"/>
  <c r="Q96" i="8"/>
  <c r="U37" i="8" s="1"/>
  <c r="Q84" i="8"/>
  <c r="U25" i="8" s="1"/>
  <c r="Q91" i="8"/>
  <c r="U32" i="8" s="1"/>
  <c r="Q97" i="8"/>
  <c r="U38" i="8" s="1"/>
  <c r="Q74" i="8"/>
  <c r="U15" i="8" s="1"/>
  <c r="Q77" i="8"/>
  <c r="U18" i="8" s="1"/>
  <c r="Q73" i="8"/>
  <c r="U14" i="8" s="1"/>
  <c r="Q94" i="8"/>
  <c r="U35" i="8" s="1"/>
  <c r="Q88" i="8"/>
  <c r="U29" i="8" s="1"/>
  <c r="Q102" i="8"/>
  <c r="U43" i="8" s="1"/>
  <c r="Q82" i="8"/>
  <c r="U23" i="8" s="1"/>
  <c r="Q81" i="8"/>
  <c r="U22" i="8" s="1"/>
  <c r="Q83" i="8"/>
  <c r="U24" i="8" s="1"/>
  <c r="Q79" i="8"/>
  <c r="U20" i="8" s="1"/>
  <c r="Q98" i="8"/>
  <c r="U39" i="8" s="1"/>
  <c r="Q76" i="8"/>
  <c r="U17" i="8" s="1"/>
  <c r="Q105" i="8"/>
  <c r="U46" i="8" s="1"/>
  <c r="R89" i="8"/>
  <c r="R92" i="8"/>
  <c r="R88" i="8"/>
  <c r="R96" i="8"/>
  <c r="R101" i="8"/>
  <c r="R72" i="8"/>
  <c r="R85" i="8"/>
  <c r="R83" i="8"/>
  <c r="R75" i="8"/>
  <c r="R102" i="8"/>
  <c r="R94" i="8"/>
  <c r="R99" i="8"/>
  <c r="R79" i="8"/>
  <c r="R100" i="8"/>
  <c r="R81" i="8"/>
  <c r="R78" i="8"/>
  <c r="R91" i="8"/>
  <c r="R106" i="8"/>
  <c r="R87" i="8"/>
  <c r="R105" i="8"/>
  <c r="R76" i="8"/>
  <c r="R84" i="8"/>
  <c r="R98" i="8"/>
  <c r="R90" i="8"/>
  <c r="R74" i="8"/>
  <c r="R77" i="8"/>
  <c r="R82" i="8"/>
  <c r="R103" i="8"/>
  <c r="R95" i="8"/>
  <c r="R104" i="8"/>
  <c r="R93" i="8"/>
  <c r="R73" i="8"/>
  <c r="R86" i="8"/>
  <c r="R97" i="8"/>
  <c r="R80" i="8"/>
  <c r="B27" i="12"/>
  <c r="D46" i="11"/>
  <c r="E95" i="11"/>
  <c r="E17" i="11" s="1"/>
  <c r="G94" i="11"/>
  <c r="G109" i="11"/>
  <c r="G106" i="11"/>
  <c r="G99" i="11"/>
  <c r="K26" i="11"/>
  <c r="K35" i="13" s="1"/>
  <c r="L25" i="11"/>
  <c r="I39" i="11"/>
  <c r="I60" i="7"/>
  <c r="I113" i="11"/>
  <c r="L65" i="6"/>
  <c r="J59" i="7"/>
  <c r="Q71" i="8"/>
  <c r="X10" i="8"/>
  <c r="R71" i="8"/>
  <c r="K55" i="8"/>
  <c r="J47" i="13"/>
  <c r="J62" i="8"/>
  <c r="H92" i="11"/>
  <c r="I58" i="8"/>
  <c r="G15" i="12" s="1"/>
  <c r="Q67" i="7"/>
  <c r="X9" i="7"/>
  <c r="K57" i="7"/>
  <c r="R67" i="7"/>
  <c r="J58" i="7"/>
  <c r="U11" i="7"/>
  <c r="K41" i="13"/>
  <c r="K45" i="13"/>
  <c r="J30" i="11"/>
  <c r="J35" i="13"/>
  <c r="L41" i="13" l="1"/>
  <c r="L45" i="13"/>
  <c r="M39" i="13"/>
  <c r="M42" i="13" s="1"/>
  <c r="H108" i="11"/>
  <c r="H107" i="11"/>
  <c r="H94" i="11" s="1"/>
  <c r="G102" i="11"/>
  <c r="G95" i="11" s="1"/>
  <c r="G17" i="11" s="1"/>
  <c r="T94" i="7"/>
  <c r="T95" i="7"/>
  <c r="T100" i="7"/>
  <c r="T101" i="7"/>
  <c r="T104" i="7"/>
  <c r="T98" i="7"/>
  <c r="T88" i="7"/>
  <c r="T93" i="7"/>
  <c r="T99" i="7"/>
  <c r="S88" i="7"/>
  <c r="S76" i="7"/>
  <c r="T97" i="7"/>
  <c r="S82" i="7"/>
  <c r="S80" i="7"/>
  <c r="S86" i="7"/>
  <c r="T92" i="7"/>
  <c r="S90" i="7"/>
  <c r="S96" i="7"/>
  <c r="S103" i="7"/>
  <c r="S99" i="7"/>
  <c r="S94" i="7"/>
  <c r="S92" i="7"/>
  <c r="S105" i="7"/>
  <c r="S98" i="7"/>
  <c r="T76" i="7"/>
  <c r="S72" i="7"/>
  <c r="T86" i="7"/>
  <c r="S84" i="7"/>
  <c r="S78" i="7"/>
  <c r="T70" i="7"/>
  <c r="S100" i="7"/>
  <c r="S104" i="7"/>
  <c r="S106" i="7"/>
  <c r="T75" i="7"/>
  <c r="S87" i="7"/>
  <c r="T91" i="7"/>
  <c r="S70" i="7"/>
  <c r="S85" i="7"/>
  <c r="T77" i="7"/>
  <c r="S81" i="7"/>
  <c r="S69" i="7"/>
  <c r="T72" i="7"/>
  <c r="T96" i="7"/>
  <c r="S83" i="7"/>
  <c r="T81" i="7"/>
  <c r="S89" i="7"/>
  <c r="T69" i="7"/>
  <c r="S74" i="7"/>
  <c r="S95" i="7"/>
  <c r="T71" i="7"/>
  <c r="T105" i="7"/>
  <c r="S102" i="7"/>
  <c r="T87" i="7"/>
  <c r="S97" i="7"/>
  <c r="T78" i="7"/>
  <c r="T79" i="7"/>
  <c r="S77" i="7"/>
  <c r="T89" i="7"/>
  <c r="S79" i="7"/>
  <c r="T103" i="7"/>
  <c r="T90" i="7"/>
  <c r="S91" i="7"/>
  <c r="T68" i="7"/>
  <c r="S68" i="7"/>
  <c r="T80" i="7"/>
  <c r="T102" i="7"/>
  <c r="T82" i="7"/>
  <c r="T106" i="7"/>
  <c r="S71" i="7"/>
  <c r="S93" i="7"/>
  <c r="T84" i="7"/>
  <c r="S73" i="7"/>
  <c r="T74" i="7"/>
  <c r="T73" i="7"/>
  <c r="T83" i="7"/>
  <c r="S75" i="7"/>
  <c r="T85" i="7"/>
  <c r="S101" i="7"/>
  <c r="W25" i="7"/>
  <c r="W26" i="7"/>
  <c r="W19" i="7"/>
  <c r="W15" i="7"/>
  <c r="W21" i="7"/>
  <c r="W23" i="7"/>
  <c r="W13" i="7"/>
  <c r="W12" i="7"/>
  <c r="W27" i="7"/>
  <c r="W28" i="7"/>
  <c r="W22" i="7"/>
  <c r="W20" i="7"/>
  <c r="W14" i="7"/>
  <c r="W24" i="7"/>
  <c r="W17" i="7"/>
  <c r="W16" i="7"/>
  <c r="T74" i="8"/>
  <c r="U74" i="8" s="1"/>
  <c r="Y15" i="8" s="1"/>
  <c r="T81" i="8"/>
  <c r="U81" i="8" s="1"/>
  <c r="Y22" i="8" s="1"/>
  <c r="T89" i="8"/>
  <c r="U89" i="8" s="1"/>
  <c r="Y30" i="8" s="1"/>
  <c r="T93" i="8"/>
  <c r="U93" i="8" s="1"/>
  <c r="Y34" i="8" s="1"/>
  <c r="T101" i="8"/>
  <c r="U101" i="8" s="1"/>
  <c r="Y42" i="8" s="1"/>
  <c r="T85" i="8"/>
  <c r="U85" i="8" s="1"/>
  <c r="Y26" i="8" s="1"/>
  <c r="T97" i="8"/>
  <c r="T105" i="8"/>
  <c r="U105" i="8" s="1"/>
  <c r="Y46" i="8" s="1"/>
  <c r="T77" i="8"/>
  <c r="U77" i="8" s="1"/>
  <c r="Y18" i="8" s="1"/>
  <c r="T72" i="8"/>
  <c r="U72" i="8" s="1"/>
  <c r="Y13" i="8" s="1"/>
  <c r="T78" i="8"/>
  <c r="T76" i="8"/>
  <c r="T106" i="8"/>
  <c r="T90" i="8"/>
  <c r="T84" i="8"/>
  <c r="U84" i="8" s="1"/>
  <c r="Y25" i="8" s="1"/>
  <c r="T109" i="8"/>
  <c r="U109" i="8" s="1"/>
  <c r="Y50" i="8" s="1"/>
  <c r="T99" i="8"/>
  <c r="T83" i="8"/>
  <c r="T107" i="8"/>
  <c r="T94" i="8"/>
  <c r="U94" i="8" s="1"/>
  <c r="Y35" i="8" s="1"/>
  <c r="T88" i="8"/>
  <c r="U88" i="8" s="1"/>
  <c r="Y29" i="8" s="1"/>
  <c r="T103" i="8"/>
  <c r="U103" i="8" s="1"/>
  <c r="Y44" i="8" s="1"/>
  <c r="T87" i="8"/>
  <c r="T98" i="8"/>
  <c r="U98" i="8" s="1"/>
  <c r="Y39" i="8" s="1"/>
  <c r="T102" i="8"/>
  <c r="T108" i="8"/>
  <c r="T82" i="8"/>
  <c r="T91" i="8"/>
  <c r="U91" i="8" s="1"/>
  <c r="Y32" i="8" s="1"/>
  <c r="T79" i="8"/>
  <c r="U79" i="8" s="1"/>
  <c r="Y20" i="8" s="1"/>
  <c r="T86" i="8"/>
  <c r="U86" i="8" s="1"/>
  <c r="Y27" i="8" s="1"/>
  <c r="T100" i="8"/>
  <c r="T104" i="8"/>
  <c r="T95" i="8"/>
  <c r="T110" i="8"/>
  <c r="T75" i="8"/>
  <c r="T73" i="8"/>
  <c r="T96" i="8"/>
  <c r="T92" i="8"/>
  <c r="U92" i="8" s="1"/>
  <c r="Y33" i="8" s="1"/>
  <c r="T80" i="8"/>
  <c r="S108" i="8"/>
  <c r="W49" i="8" s="1"/>
  <c r="S107" i="8"/>
  <c r="W48" i="8" s="1"/>
  <c r="S110" i="8"/>
  <c r="W51" i="8" s="1"/>
  <c r="S97" i="8"/>
  <c r="W38" i="8" s="1"/>
  <c r="S77" i="8"/>
  <c r="W18" i="8" s="1"/>
  <c r="S102" i="8"/>
  <c r="W43" i="8" s="1"/>
  <c r="S104" i="8"/>
  <c r="W45" i="8" s="1"/>
  <c r="S84" i="8"/>
  <c r="W25" i="8" s="1"/>
  <c r="S106" i="8"/>
  <c r="W47" i="8" s="1"/>
  <c r="S100" i="8"/>
  <c r="W41" i="8" s="1"/>
  <c r="S72" i="8"/>
  <c r="W13" i="8" s="1"/>
  <c r="S92" i="8"/>
  <c r="W33" i="8" s="1"/>
  <c r="S95" i="8"/>
  <c r="W36" i="8" s="1"/>
  <c r="S91" i="8"/>
  <c r="W32" i="8" s="1"/>
  <c r="S101" i="8"/>
  <c r="W42" i="8" s="1"/>
  <c r="S73" i="8"/>
  <c r="W14" i="8" s="1"/>
  <c r="S103" i="8"/>
  <c r="W44" i="8" s="1"/>
  <c r="S90" i="8"/>
  <c r="W31" i="8" s="1"/>
  <c r="S105" i="8"/>
  <c r="W46" i="8" s="1"/>
  <c r="S78" i="8"/>
  <c r="W19" i="8" s="1"/>
  <c r="S99" i="8"/>
  <c r="W40" i="8" s="1"/>
  <c r="S83" i="8"/>
  <c r="W24" i="8" s="1"/>
  <c r="S96" i="8"/>
  <c r="W37" i="8" s="1"/>
  <c r="S86" i="8"/>
  <c r="W27" i="8" s="1"/>
  <c r="S74" i="8"/>
  <c r="W15" i="8" s="1"/>
  <c r="S76" i="8"/>
  <c r="W17" i="8" s="1"/>
  <c r="S79" i="8"/>
  <c r="W20" i="8" s="1"/>
  <c r="S75" i="8"/>
  <c r="W16" i="8" s="1"/>
  <c r="S89" i="8"/>
  <c r="W30" i="8" s="1"/>
  <c r="S80" i="8"/>
  <c r="W21" i="8" s="1"/>
  <c r="S93" i="8"/>
  <c r="W34" i="8" s="1"/>
  <c r="S82" i="8"/>
  <c r="W23" i="8" s="1"/>
  <c r="S98" i="8"/>
  <c r="W39" i="8" s="1"/>
  <c r="S87" i="8"/>
  <c r="W28" i="8" s="1"/>
  <c r="S81" i="8"/>
  <c r="W22" i="8" s="1"/>
  <c r="S94" i="8"/>
  <c r="W35" i="8" s="1"/>
  <c r="S85" i="8"/>
  <c r="W26" i="8" s="1"/>
  <c r="S88" i="8"/>
  <c r="W29" i="8" s="1"/>
  <c r="C27" i="12"/>
  <c r="E46" i="11"/>
  <c r="F95" i="11"/>
  <c r="F17" i="11" s="1"/>
  <c r="H99" i="11"/>
  <c r="H106" i="11"/>
  <c r="K30" i="11"/>
  <c r="K39" i="11" s="1"/>
  <c r="L47" i="13"/>
  <c r="L51" i="13" s="1"/>
  <c r="M25" i="11"/>
  <c r="M26" i="11" s="1"/>
  <c r="L26" i="11"/>
  <c r="M41" i="13"/>
  <c r="M45" i="13"/>
  <c r="N45" i="13" s="1"/>
  <c r="Y19" i="7"/>
  <c r="S67" i="7"/>
  <c r="T67" i="7"/>
  <c r="K47" i="13"/>
  <c r="K51" i="13" s="1"/>
  <c r="Z9" i="7"/>
  <c r="L57" i="7"/>
  <c r="Z10" i="8"/>
  <c r="T71" i="8"/>
  <c r="L55" i="8"/>
  <c r="J58" i="8"/>
  <c r="H15" i="12" s="1"/>
  <c r="J113" i="11"/>
  <c r="M65" i="6"/>
  <c r="J60" i="7"/>
  <c r="K58" i="7"/>
  <c r="I107" i="11" s="1"/>
  <c r="W11" i="7"/>
  <c r="S71" i="8"/>
  <c r="J39" i="11"/>
  <c r="K59" i="7"/>
  <c r="I108" i="11" s="1"/>
  <c r="J51" i="13"/>
  <c r="K62" i="8"/>
  <c r="I92" i="11"/>
  <c r="U12" i="8"/>
  <c r="Y15" i="7" l="1"/>
  <c r="H102" i="11"/>
  <c r="H109" i="11"/>
  <c r="U73" i="8"/>
  <c r="Y14" i="8" s="1"/>
  <c r="U78" i="7"/>
  <c r="V76" i="7"/>
  <c r="U84" i="7"/>
  <c r="V101" i="7"/>
  <c r="V97" i="7"/>
  <c r="V70" i="7"/>
  <c r="U103" i="7"/>
  <c r="U98" i="7"/>
  <c r="V98" i="7"/>
  <c r="U82" i="7"/>
  <c r="V88" i="7"/>
  <c r="U80" i="7"/>
  <c r="U72" i="7"/>
  <c r="V100" i="7"/>
  <c r="V93" i="7"/>
  <c r="U100" i="7"/>
  <c r="U90" i="7"/>
  <c r="U92" i="7"/>
  <c r="V104" i="7"/>
  <c r="V94" i="7"/>
  <c r="U105" i="7"/>
  <c r="U76" i="7"/>
  <c r="V92" i="7"/>
  <c r="U88" i="7"/>
  <c r="V99" i="7"/>
  <c r="V95" i="7"/>
  <c r="V86" i="7"/>
  <c r="U86" i="7"/>
  <c r="U99" i="7"/>
  <c r="U94" i="7"/>
  <c r="U96" i="7"/>
  <c r="AA18" i="7" s="1"/>
  <c r="V102" i="7"/>
  <c r="U97" i="7"/>
  <c r="V106" i="7"/>
  <c r="V78" i="7"/>
  <c r="V79" i="7"/>
  <c r="V103" i="7"/>
  <c r="U74" i="7"/>
  <c r="U81" i="7"/>
  <c r="U69" i="7"/>
  <c r="U91" i="7"/>
  <c r="V68" i="7"/>
  <c r="U68" i="7"/>
  <c r="V80" i="7"/>
  <c r="V82" i="7"/>
  <c r="U101" i="7"/>
  <c r="V73" i="7"/>
  <c r="V74" i="7"/>
  <c r="U93" i="7"/>
  <c r="V96" i="7"/>
  <c r="U104" i="7"/>
  <c r="V87" i="7"/>
  <c r="U106" i="7"/>
  <c r="U77" i="7"/>
  <c r="V89" i="7"/>
  <c r="V75" i="7"/>
  <c r="U79" i="7"/>
  <c r="U87" i="7"/>
  <c r="U85" i="7"/>
  <c r="V77" i="7"/>
  <c r="V105" i="7"/>
  <c r="V72" i="7"/>
  <c r="U83" i="7"/>
  <c r="U71" i="7"/>
  <c r="U73" i="7"/>
  <c r="V69" i="7"/>
  <c r="U70" i="7"/>
  <c r="AA14" i="7" s="1"/>
  <c r="V83" i="7"/>
  <c r="U95" i="7"/>
  <c r="V85" i="7"/>
  <c r="V84" i="7"/>
  <c r="U102" i="7"/>
  <c r="U89" i="7"/>
  <c r="V81" i="7"/>
  <c r="V71" i="7"/>
  <c r="U75" i="7"/>
  <c r="V91" i="7"/>
  <c r="V90" i="7"/>
  <c r="Y27" i="7"/>
  <c r="Y12" i="7"/>
  <c r="Y16" i="7"/>
  <c r="Y20" i="7"/>
  <c r="Y24" i="7"/>
  <c r="Y28" i="7"/>
  <c r="Y23" i="7"/>
  <c r="Y13" i="7"/>
  <c r="Y17" i="7"/>
  <c r="Y21" i="7"/>
  <c r="Y25" i="7"/>
  <c r="Y14" i="7"/>
  <c r="Y18" i="7"/>
  <c r="Y22" i="7"/>
  <c r="Y26" i="7"/>
  <c r="U104" i="8"/>
  <c r="Y45" i="8" s="1"/>
  <c r="U76" i="8"/>
  <c r="Y17" i="8" s="1"/>
  <c r="U80" i="8"/>
  <c r="Y21" i="8" s="1"/>
  <c r="U75" i="8"/>
  <c r="Y16" i="8" s="1"/>
  <c r="U100" i="8"/>
  <c r="Y41" i="8" s="1"/>
  <c r="U82" i="8"/>
  <c r="Y23" i="8" s="1"/>
  <c r="U87" i="8"/>
  <c r="Y28" i="8" s="1"/>
  <c r="U107" i="8"/>
  <c r="Y48" i="8" s="1"/>
  <c r="U78" i="8"/>
  <c r="Y19" i="8" s="1"/>
  <c r="U97" i="8"/>
  <c r="Y38" i="8" s="1"/>
  <c r="U110" i="8"/>
  <c r="Y51" i="8" s="1"/>
  <c r="U108" i="8"/>
  <c r="Y49" i="8" s="1"/>
  <c r="U83" i="8"/>
  <c r="Y24" i="8" s="1"/>
  <c r="U90" i="8"/>
  <c r="Y31" i="8" s="1"/>
  <c r="AB10" i="8"/>
  <c r="V73" i="8"/>
  <c r="V74" i="8"/>
  <c r="V85" i="8"/>
  <c r="V101" i="8"/>
  <c r="V93" i="8"/>
  <c r="V81" i="8"/>
  <c r="V97" i="8"/>
  <c r="V89" i="8"/>
  <c r="V105" i="8"/>
  <c r="V78" i="8"/>
  <c r="V95" i="8"/>
  <c r="W95" i="8" s="1"/>
  <c r="AA36" i="8" s="1"/>
  <c r="V98" i="8"/>
  <c r="V82" i="8"/>
  <c r="V96" i="8"/>
  <c r="V92" i="8"/>
  <c r="V108" i="8"/>
  <c r="V110" i="8"/>
  <c r="V72" i="8"/>
  <c r="V91" i="8"/>
  <c r="W91" i="8" s="1"/>
  <c r="AA32" i="8" s="1"/>
  <c r="V79" i="8"/>
  <c r="W79" i="8" s="1"/>
  <c r="AA20" i="8" s="1"/>
  <c r="V99" i="8"/>
  <c r="W99" i="8" s="1"/>
  <c r="AA40" i="8" s="1"/>
  <c r="V75" i="8"/>
  <c r="V87" i="8"/>
  <c r="W87" i="8" s="1"/>
  <c r="AA28" i="8" s="1"/>
  <c r="V102" i="8"/>
  <c r="V86" i="8"/>
  <c r="V100" i="8"/>
  <c r="W100" i="8" s="1"/>
  <c r="AA41" i="8" s="1"/>
  <c r="V80" i="8"/>
  <c r="V104" i="8"/>
  <c r="W104" i="8" s="1"/>
  <c r="AA45" i="8" s="1"/>
  <c r="V109" i="8"/>
  <c r="W109" i="8" s="1"/>
  <c r="AA50" i="8" s="1"/>
  <c r="V103" i="8"/>
  <c r="W103" i="8" s="1"/>
  <c r="AA44" i="8" s="1"/>
  <c r="V77" i="8"/>
  <c r="V106" i="8"/>
  <c r="W106" i="8" s="1"/>
  <c r="AA47" i="8" s="1"/>
  <c r="V83" i="8"/>
  <c r="W83" i="8" s="1"/>
  <c r="AA24" i="8" s="1"/>
  <c r="V90" i="8"/>
  <c r="V76" i="8"/>
  <c r="V107" i="8"/>
  <c r="W107" i="8" s="1"/>
  <c r="AA48" i="8" s="1"/>
  <c r="V88" i="8"/>
  <c r="V84" i="8"/>
  <c r="V94" i="8"/>
  <c r="U96" i="8"/>
  <c r="Y37" i="8" s="1"/>
  <c r="U95" i="8"/>
  <c r="Y36" i="8" s="1"/>
  <c r="U102" i="8"/>
  <c r="Y43" i="8" s="1"/>
  <c r="U99" i="8"/>
  <c r="Y40" i="8" s="1"/>
  <c r="U106" i="8"/>
  <c r="Y47" i="8" s="1"/>
  <c r="D27" i="12"/>
  <c r="F46" i="11"/>
  <c r="I94" i="11"/>
  <c r="I109" i="11"/>
  <c r="I106" i="11"/>
  <c r="I99" i="11"/>
  <c r="G46" i="11"/>
  <c r="L58" i="7"/>
  <c r="J107" i="11" s="1"/>
  <c r="Y11" i="7"/>
  <c r="L59" i="7"/>
  <c r="J108" i="11" s="1"/>
  <c r="K113" i="11"/>
  <c r="N65" i="6"/>
  <c r="L30" i="11"/>
  <c r="L35" i="13"/>
  <c r="M30" i="11"/>
  <c r="M35" i="13"/>
  <c r="N26" i="11"/>
  <c r="P42" i="11" s="1"/>
  <c r="X71" i="8"/>
  <c r="AD10" i="8"/>
  <c r="N55" i="8"/>
  <c r="V67" i="7"/>
  <c r="AA26" i="7"/>
  <c r="AA23" i="7"/>
  <c r="AA19" i="7"/>
  <c r="U67" i="7"/>
  <c r="M47" i="13"/>
  <c r="N41" i="13"/>
  <c r="AB9" i="7"/>
  <c r="K58" i="8"/>
  <c r="I15" i="12" s="1"/>
  <c r="K60" i="7"/>
  <c r="L62" i="8"/>
  <c r="J92" i="11"/>
  <c r="V71" i="8"/>
  <c r="M55" i="8"/>
  <c r="U71" i="8"/>
  <c r="M57" i="7"/>
  <c r="W12" i="8"/>
  <c r="AA22" i="7" l="1"/>
  <c r="AA15" i="7"/>
  <c r="AA27" i="7"/>
  <c r="I102" i="11"/>
  <c r="X98" i="7"/>
  <c r="X93" i="7"/>
  <c r="X94" i="7"/>
  <c r="X99" i="7"/>
  <c r="X104" i="7"/>
  <c r="X95" i="7"/>
  <c r="X100" i="7"/>
  <c r="X101" i="7"/>
  <c r="W103" i="7"/>
  <c r="W99" i="7"/>
  <c r="W94" i="7"/>
  <c r="X97" i="7"/>
  <c r="X86" i="7"/>
  <c r="X70" i="7"/>
  <c r="X92" i="7"/>
  <c r="W88" i="7"/>
  <c r="W76" i="7"/>
  <c r="W82" i="7"/>
  <c r="W80" i="7"/>
  <c r="W86" i="7"/>
  <c r="W72" i="7"/>
  <c r="W78" i="7"/>
  <c r="W90" i="7"/>
  <c r="W96" i="7"/>
  <c r="W105" i="7"/>
  <c r="W100" i="7"/>
  <c r="W98" i="7"/>
  <c r="W92" i="7"/>
  <c r="X88" i="7"/>
  <c r="X76" i="7"/>
  <c r="W84" i="7"/>
  <c r="X80" i="7"/>
  <c r="X82" i="7"/>
  <c r="W71" i="7"/>
  <c r="W101" i="7"/>
  <c r="X73" i="7"/>
  <c r="W73" i="7"/>
  <c r="X74" i="7"/>
  <c r="W75" i="7"/>
  <c r="W93" i="7"/>
  <c r="W104" i="7"/>
  <c r="X87" i="7"/>
  <c r="W106" i="7"/>
  <c r="X106" i="7"/>
  <c r="X89" i="7"/>
  <c r="X75" i="7"/>
  <c r="W87" i="7"/>
  <c r="W70" i="7"/>
  <c r="W85" i="7"/>
  <c r="X77" i="7"/>
  <c r="X83" i="7"/>
  <c r="X85" i="7"/>
  <c r="X105" i="7"/>
  <c r="W81" i="7"/>
  <c r="W69" i="7"/>
  <c r="X72" i="7"/>
  <c r="W83" i="7"/>
  <c r="X81" i="7"/>
  <c r="W89" i="7"/>
  <c r="X69" i="7"/>
  <c r="X91" i="7"/>
  <c r="W74" i="7"/>
  <c r="W95" i="7"/>
  <c r="X90" i="7"/>
  <c r="X71" i="7"/>
  <c r="W102" i="7"/>
  <c r="X84" i="7"/>
  <c r="X96" i="7"/>
  <c r="X102" i="7"/>
  <c r="W97" i="7"/>
  <c r="W77" i="7"/>
  <c r="X68" i="7"/>
  <c r="W79" i="7"/>
  <c r="X103" i="7"/>
  <c r="X79" i="7"/>
  <c r="W91" i="7"/>
  <c r="X78" i="7"/>
  <c r="W68" i="7"/>
  <c r="AA13" i="7"/>
  <c r="AA17" i="7"/>
  <c r="AA21" i="7"/>
  <c r="AA25" i="7"/>
  <c r="AA12" i="7"/>
  <c r="AA20" i="7"/>
  <c r="AA24" i="7"/>
  <c r="AA28" i="7"/>
  <c r="AA16" i="7"/>
  <c r="W76" i="8"/>
  <c r="AA17" i="8" s="1"/>
  <c r="W80" i="8"/>
  <c r="AA21" i="8" s="1"/>
  <c r="W85" i="8"/>
  <c r="AA26" i="8" s="1"/>
  <c r="Z74" i="8"/>
  <c r="Z77" i="8"/>
  <c r="AA77" i="8" s="1"/>
  <c r="Z72" i="8"/>
  <c r="Z105" i="8"/>
  <c r="AA105" i="8" s="1"/>
  <c r="Z89" i="8"/>
  <c r="AA89" i="8" s="1"/>
  <c r="Z75" i="8"/>
  <c r="AA75" i="8" s="1"/>
  <c r="AE16" i="8" s="1"/>
  <c r="Z102" i="8"/>
  <c r="Z86" i="8"/>
  <c r="Z100" i="8"/>
  <c r="Z80" i="8"/>
  <c r="Z104" i="8"/>
  <c r="AA104" i="8" s="1"/>
  <c r="Z95" i="8"/>
  <c r="Z79" i="8"/>
  <c r="Z73" i="8"/>
  <c r="Z97" i="8"/>
  <c r="AA97" i="8" s="1"/>
  <c r="Z76" i="8"/>
  <c r="Z101" i="8"/>
  <c r="AA101" i="8" s="1"/>
  <c r="Z85" i="8"/>
  <c r="Z106" i="8"/>
  <c r="Z90" i="8"/>
  <c r="Z84" i="8"/>
  <c r="AA84" i="8" s="1"/>
  <c r="Z99" i="8"/>
  <c r="AA99" i="8" s="1"/>
  <c r="Z83" i="8"/>
  <c r="Z107" i="8"/>
  <c r="AA107" i="8" s="1"/>
  <c r="Z81" i="8"/>
  <c r="AA81" i="8" s="1"/>
  <c r="Z78" i="8"/>
  <c r="Z88" i="8"/>
  <c r="AA88" i="8" s="1"/>
  <c r="Z87" i="8"/>
  <c r="AA87" i="8" s="1"/>
  <c r="Z110" i="8"/>
  <c r="AA110" i="8" s="1"/>
  <c r="Z103" i="8"/>
  <c r="AA103" i="8" s="1"/>
  <c r="Z93" i="8"/>
  <c r="AA93" i="8" s="1"/>
  <c r="Z82" i="8"/>
  <c r="AA82" i="8" s="1"/>
  <c r="Z96" i="8"/>
  <c r="Z98" i="8"/>
  <c r="Z109" i="8"/>
  <c r="AA109" i="8" s="1"/>
  <c r="Z108" i="8"/>
  <c r="AA108" i="8" s="1"/>
  <c r="Z94" i="8"/>
  <c r="AA94" i="8" s="1"/>
  <c r="Z92" i="8"/>
  <c r="Z91" i="8"/>
  <c r="W84" i="8"/>
  <c r="AA25" i="8" s="1"/>
  <c r="W90" i="8"/>
  <c r="AA31" i="8" s="1"/>
  <c r="W75" i="8"/>
  <c r="AA16" i="8" s="1"/>
  <c r="W72" i="8"/>
  <c r="AA13" i="8" s="1"/>
  <c r="W96" i="8"/>
  <c r="AA37" i="8" s="1"/>
  <c r="W78" i="8"/>
  <c r="AA19" i="8" s="1"/>
  <c r="W81" i="8"/>
  <c r="AA22" i="8" s="1"/>
  <c r="W74" i="8"/>
  <c r="AA15" i="8" s="1"/>
  <c r="W94" i="8"/>
  <c r="AA35" i="8" s="1"/>
  <c r="W88" i="8"/>
  <c r="AA29" i="8" s="1"/>
  <c r="W86" i="8"/>
  <c r="AA27" i="8" s="1"/>
  <c r="W110" i="8"/>
  <c r="AA51" i="8" s="1"/>
  <c r="W82" i="8"/>
  <c r="AA23" i="8" s="1"/>
  <c r="W105" i="8"/>
  <c r="AA46" i="8" s="1"/>
  <c r="W93" i="8"/>
  <c r="AA34" i="8" s="1"/>
  <c r="W73" i="8"/>
  <c r="AA14" i="8" s="1"/>
  <c r="W77" i="8"/>
  <c r="AA18" i="8" s="1"/>
  <c r="W92" i="8"/>
  <c r="AA33" i="8" s="1"/>
  <c r="W97" i="8"/>
  <c r="AA38" i="8" s="1"/>
  <c r="W102" i="8"/>
  <c r="AA43" i="8" s="1"/>
  <c r="W108" i="8"/>
  <c r="AA49" i="8" s="1"/>
  <c r="W98" i="8"/>
  <c r="AA39" i="8" s="1"/>
  <c r="W89" i="8"/>
  <c r="AA30" i="8" s="1"/>
  <c r="W101" i="8"/>
  <c r="AA42" i="8" s="1"/>
  <c r="X77" i="8"/>
  <c r="X78" i="8"/>
  <c r="Y78" i="8" s="1"/>
  <c r="AC19" i="8" s="1"/>
  <c r="X75" i="8"/>
  <c r="Y75" i="8" s="1"/>
  <c r="AC16" i="8" s="1"/>
  <c r="X108" i="8"/>
  <c r="Y108" i="8" s="1"/>
  <c r="AC49" i="8" s="1"/>
  <c r="X96" i="8"/>
  <c r="X101" i="8"/>
  <c r="Y101" i="8" s="1"/>
  <c r="AC42" i="8" s="1"/>
  <c r="X85" i="8"/>
  <c r="X103" i="8"/>
  <c r="Y103" i="8" s="1"/>
  <c r="AC44" i="8" s="1"/>
  <c r="X87" i="8"/>
  <c r="X102" i="8"/>
  <c r="X86" i="8"/>
  <c r="X92" i="8"/>
  <c r="Y92" i="8" s="1"/>
  <c r="AC33" i="8" s="1"/>
  <c r="X76" i="8"/>
  <c r="Y76" i="8" s="1"/>
  <c r="AC17" i="8" s="1"/>
  <c r="X100" i="8"/>
  <c r="X74" i="8"/>
  <c r="X84" i="8"/>
  <c r="Y84" i="8" s="1"/>
  <c r="AC25" i="8" s="1"/>
  <c r="X97" i="8"/>
  <c r="Y97" i="8" s="1"/>
  <c r="AC38" i="8" s="1"/>
  <c r="X81" i="8"/>
  <c r="Y81" i="8" s="1"/>
  <c r="AC22" i="8" s="1"/>
  <c r="X109" i="8"/>
  <c r="Y109" i="8" s="1"/>
  <c r="AC50" i="8" s="1"/>
  <c r="X91" i="8"/>
  <c r="X98" i="8"/>
  <c r="Y98" i="8" s="1"/>
  <c r="AC39" i="8" s="1"/>
  <c r="X82" i="8"/>
  <c r="Y82" i="8" s="1"/>
  <c r="AC23" i="8" s="1"/>
  <c r="X93" i="8"/>
  <c r="Y93" i="8" s="1"/>
  <c r="AC34" i="8" s="1"/>
  <c r="X88" i="8"/>
  <c r="X72" i="8"/>
  <c r="X105" i="8"/>
  <c r="Y105" i="8" s="1"/>
  <c r="AC46" i="8" s="1"/>
  <c r="X95" i="8"/>
  <c r="Y95" i="8" s="1"/>
  <c r="AC36" i="8" s="1"/>
  <c r="X94" i="8"/>
  <c r="X99" i="8"/>
  <c r="X80" i="8"/>
  <c r="Y80" i="8" s="1"/>
  <c r="AC21" i="8" s="1"/>
  <c r="X89" i="8"/>
  <c r="Y89" i="8" s="1"/>
  <c r="AC30" i="8" s="1"/>
  <c r="X107" i="8"/>
  <c r="X83" i="8"/>
  <c r="Y83" i="8" s="1"/>
  <c r="AC24" i="8" s="1"/>
  <c r="X90" i="8"/>
  <c r="Y90" i="8" s="1"/>
  <c r="AC31" i="8" s="1"/>
  <c r="X104" i="8"/>
  <c r="X110" i="8"/>
  <c r="X79" i="8"/>
  <c r="Y79" i="8" s="1"/>
  <c r="AC20" i="8" s="1"/>
  <c r="X73" i="8"/>
  <c r="X106" i="8"/>
  <c r="Y106" i="8" s="1"/>
  <c r="AC47" i="8" s="1"/>
  <c r="G27" i="12"/>
  <c r="E27" i="12"/>
  <c r="H95" i="11"/>
  <c r="H46" i="11" s="1"/>
  <c r="J94" i="11"/>
  <c r="J109" i="11"/>
  <c r="J106" i="11"/>
  <c r="J99" i="11"/>
  <c r="M59" i="7"/>
  <c r="K108" i="11" s="1"/>
  <c r="AA11" i="7"/>
  <c r="M58" i="7"/>
  <c r="K107" i="11" s="1"/>
  <c r="W67" i="7"/>
  <c r="X67" i="7"/>
  <c r="M39" i="11"/>
  <c r="O65" i="6"/>
  <c r="M113" i="11" s="1"/>
  <c r="L113" i="11"/>
  <c r="L92" i="11"/>
  <c r="N62" i="8"/>
  <c r="Y71" i="8"/>
  <c r="M51" i="13"/>
  <c r="Z71" i="8"/>
  <c r="O55" i="8"/>
  <c r="L39" i="11"/>
  <c r="AD9" i="7"/>
  <c r="N57" i="7"/>
  <c r="L58" i="8"/>
  <c r="J15" i="12" s="1"/>
  <c r="M62" i="8"/>
  <c r="K92" i="11"/>
  <c r="Y12" i="8"/>
  <c r="W71" i="8"/>
  <c r="AE18" i="8" l="1"/>
  <c r="AE22" i="8"/>
  <c r="AB81" i="8"/>
  <c r="AE30" i="8"/>
  <c r="AG30" i="8" s="1"/>
  <c r="AB89" i="8"/>
  <c r="AE51" i="8"/>
  <c r="AE42" i="8"/>
  <c r="AG42" i="8" s="1"/>
  <c r="AB101" i="8"/>
  <c r="AE49" i="8"/>
  <c r="AB108" i="8"/>
  <c r="AE28" i="8"/>
  <c r="AE50" i="8"/>
  <c r="AG50" i="8" s="1"/>
  <c r="AB109" i="8"/>
  <c r="AE34" i="8"/>
  <c r="AB93" i="8"/>
  <c r="AE29" i="8"/>
  <c r="AE38" i="8"/>
  <c r="AB97" i="8"/>
  <c r="AE45" i="8"/>
  <c r="AE35" i="8"/>
  <c r="AE25" i="8"/>
  <c r="AB84" i="8"/>
  <c r="AE23" i="8"/>
  <c r="AB82" i="8"/>
  <c r="AE48" i="8"/>
  <c r="AE46" i="8"/>
  <c r="AG46" i="8" s="1"/>
  <c r="AB105" i="8"/>
  <c r="AE44" i="8"/>
  <c r="AG44" i="8" s="1"/>
  <c r="AB103" i="8"/>
  <c r="AE40" i="8"/>
  <c r="AB75" i="8"/>
  <c r="J102" i="11"/>
  <c r="AC18" i="7"/>
  <c r="AC12" i="8"/>
  <c r="Y90" i="7"/>
  <c r="Y96" i="7"/>
  <c r="Y92" i="7"/>
  <c r="Z100" i="7"/>
  <c r="Z93" i="7"/>
  <c r="Z88" i="7"/>
  <c r="Y100" i="7"/>
  <c r="Y103" i="7"/>
  <c r="Y98" i="7"/>
  <c r="Z76" i="7"/>
  <c r="Y72" i="7"/>
  <c r="Y84" i="7"/>
  <c r="Y78" i="7"/>
  <c r="Z99" i="7"/>
  <c r="Z95" i="7"/>
  <c r="Z70" i="7"/>
  <c r="Y99" i="7"/>
  <c r="Y94" i="7"/>
  <c r="Y76" i="7"/>
  <c r="Z97" i="7"/>
  <c r="Y86" i="7"/>
  <c r="Z104" i="7"/>
  <c r="Z98" i="7"/>
  <c r="Z94" i="7"/>
  <c r="Y105" i="7"/>
  <c r="Z92" i="7"/>
  <c r="AA92" i="7" s="1"/>
  <c r="Y88" i="7"/>
  <c r="Y82" i="7"/>
  <c r="Y80" i="7"/>
  <c r="Z101" i="7"/>
  <c r="Z86" i="7"/>
  <c r="Y83" i="7"/>
  <c r="Y77" i="7"/>
  <c r="Y79" i="7"/>
  <c r="Z81" i="7"/>
  <c r="Y89" i="7"/>
  <c r="Z69" i="7"/>
  <c r="Z91" i="7"/>
  <c r="Y74" i="7"/>
  <c r="Z83" i="7"/>
  <c r="Y95" i="7"/>
  <c r="AE17" i="7" s="1"/>
  <c r="Z90" i="7"/>
  <c r="Z71" i="7"/>
  <c r="Z85" i="7"/>
  <c r="Y102" i="7"/>
  <c r="Z84" i="7"/>
  <c r="Z102" i="7"/>
  <c r="Y97" i="7"/>
  <c r="Z106" i="7"/>
  <c r="Y71" i="7"/>
  <c r="Z78" i="7"/>
  <c r="Z79" i="7"/>
  <c r="Z103" i="7"/>
  <c r="Y73" i="7"/>
  <c r="Y75" i="7"/>
  <c r="Y91" i="7"/>
  <c r="Z68" i="7"/>
  <c r="Y68" i="7"/>
  <c r="Z80" i="7"/>
  <c r="Z82" i="7"/>
  <c r="AA82" i="7" s="1"/>
  <c r="Y101" i="7"/>
  <c r="Z73" i="7"/>
  <c r="Z74" i="7"/>
  <c r="AA74" i="7" s="1"/>
  <c r="Y81" i="7"/>
  <c r="Y69" i="7"/>
  <c r="Y93" i="7"/>
  <c r="Z96" i="7"/>
  <c r="Y104" i="7"/>
  <c r="Z87" i="7"/>
  <c r="Y106" i="7"/>
  <c r="Y87" i="7"/>
  <c r="Z105" i="7"/>
  <c r="Y70" i="7"/>
  <c r="Z77" i="7"/>
  <c r="Z72" i="7"/>
  <c r="Z75" i="7"/>
  <c r="Y85" i="7"/>
  <c r="Z89" i="7"/>
  <c r="AC12" i="7"/>
  <c r="AC24" i="7"/>
  <c r="AC22" i="7"/>
  <c r="AC16" i="7"/>
  <c r="AC27" i="7"/>
  <c r="AC15" i="7"/>
  <c r="AC14" i="7"/>
  <c r="AC25" i="7"/>
  <c r="AC20" i="7"/>
  <c r="AC17" i="7"/>
  <c r="AC28" i="7"/>
  <c r="AC23" i="7"/>
  <c r="AC21" i="7"/>
  <c r="AC19" i="7"/>
  <c r="AC13" i="7"/>
  <c r="AC26" i="7"/>
  <c r="Y86" i="8"/>
  <c r="AC27" i="8" s="1"/>
  <c r="AA78" i="8"/>
  <c r="AB78" i="8" s="1"/>
  <c r="AG16" i="8"/>
  <c r="Y100" i="8"/>
  <c r="AC41" i="8" s="1"/>
  <c r="Y102" i="8"/>
  <c r="AC43" i="8" s="1"/>
  <c r="AA96" i="8"/>
  <c r="AG22" i="8"/>
  <c r="AG25" i="8"/>
  <c r="AA79" i="8"/>
  <c r="AA100" i="8"/>
  <c r="AA74" i="8"/>
  <c r="Y104" i="8"/>
  <c r="AC45" i="8" s="1"/>
  <c r="Y74" i="8"/>
  <c r="AC15" i="8" s="1"/>
  <c r="Y85" i="8"/>
  <c r="AC26" i="8" s="1"/>
  <c r="AA92" i="8"/>
  <c r="AA98" i="8"/>
  <c r="Y73" i="8"/>
  <c r="AC14" i="8" s="1"/>
  <c r="Y99" i="8"/>
  <c r="AC40" i="8" s="1"/>
  <c r="Y72" i="8"/>
  <c r="AC13" i="8" s="1"/>
  <c r="Y87" i="8"/>
  <c r="AC28" i="8" s="1"/>
  <c r="AG28" i="8" s="1"/>
  <c r="Y96" i="8"/>
  <c r="AC37" i="8" s="1"/>
  <c r="Y77" i="8"/>
  <c r="AC18" i="8" s="1"/>
  <c r="AG18" i="8" s="1"/>
  <c r="AG49" i="8"/>
  <c r="AG23" i="8"/>
  <c r="AA90" i="8"/>
  <c r="AA76" i="8"/>
  <c r="AA95" i="8"/>
  <c r="AB95" i="8" s="1"/>
  <c r="AA86" i="8"/>
  <c r="AA85" i="8"/>
  <c r="AA73" i="8"/>
  <c r="AE14" i="8" s="1"/>
  <c r="AA80" i="8"/>
  <c r="Y110" i="8"/>
  <c r="AC51" i="8" s="1"/>
  <c r="AG51" i="8" s="1"/>
  <c r="Y107" i="8"/>
  <c r="AB107" i="8" s="1"/>
  <c r="Y94" i="8"/>
  <c r="AC35" i="8" s="1"/>
  <c r="Y88" i="8"/>
  <c r="AC29" i="8" s="1"/>
  <c r="Y91" i="8"/>
  <c r="AC32" i="8" s="1"/>
  <c r="AA91" i="8"/>
  <c r="AG34" i="8"/>
  <c r="AA83" i="8"/>
  <c r="AA106" i="8"/>
  <c r="AG38" i="8"/>
  <c r="AA102" i="8"/>
  <c r="AB102" i="8" s="1"/>
  <c r="AA72" i="8"/>
  <c r="F27" i="12"/>
  <c r="H27" i="12"/>
  <c r="H17" i="11"/>
  <c r="I95" i="11"/>
  <c r="K94" i="11"/>
  <c r="K109" i="11"/>
  <c r="K106" i="11"/>
  <c r="K99" i="11"/>
  <c r="L99" i="11"/>
  <c r="L106" i="11"/>
  <c r="N59" i="7"/>
  <c r="L108" i="11" s="1"/>
  <c r="AC11" i="7"/>
  <c r="N58" i="7"/>
  <c r="L107" i="11" s="1"/>
  <c r="Z67" i="7"/>
  <c r="Y67" i="7"/>
  <c r="AA71" i="8"/>
  <c r="AB71" i="8" s="1"/>
  <c r="M92" i="11"/>
  <c r="O62" i="8"/>
  <c r="O57" i="7"/>
  <c r="M58" i="8"/>
  <c r="K15" i="12" s="1"/>
  <c r="AA12" i="8"/>
  <c r="AE36" i="8" l="1"/>
  <c r="AG36" i="8" s="1"/>
  <c r="AA73" i="7"/>
  <c r="AA96" i="7"/>
  <c r="AE13" i="7"/>
  <c r="AG13" i="7" s="1"/>
  <c r="AA103" i="7"/>
  <c r="AA75" i="7"/>
  <c r="AA79" i="7"/>
  <c r="AA83" i="7"/>
  <c r="AA72" i="7"/>
  <c r="AA87" i="7"/>
  <c r="AE19" i="8"/>
  <c r="AG19" i="8" s="1"/>
  <c r="AA68" i="7"/>
  <c r="AA106" i="7"/>
  <c r="AE21" i="7"/>
  <c r="AG21" i="7" s="1"/>
  <c r="AA93" i="7"/>
  <c r="AA94" i="7"/>
  <c r="AA69" i="7"/>
  <c r="D4" i="13" s="1"/>
  <c r="D5" i="13" s="1"/>
  <c r="D6" i="13" s="1"/>
  <c r="AA70" i="7"/>
  <c r="AG35" i="8"/>
  <c r="AA71" i="7"/>
  <c r="AG29" i="8"/>
  <c r="AA100" i="7"/>
  <c r="AA85" i="7"/>
  <c r="AA80" i="7"/>
  <c r="AA78" i="7"/>
  <c r="AA102" i="7"/>
  <c r="AA81" i="7"/>
  <c r="AA86" i="7"/>
  <c r="AA98" i="7"/>
  <c r="AA95" i="7"/>
  <c r="AA105" i="7"/>
  <c r="AA97" i="7"/>
  <c r="AA89" i="7"/>
  <c r="AA77" i="7"/>
  <c r="AA84" i="7"/>
  <c r="AA90" i="7"/>
  <c r="AA91" i="7"/>
  <c r="AA101" i="7"/>
  <c r="AA104" i="7"/>
  <c r="AA99" i="7"/>
  <c r="AA76" i="7"/>
  <c r="AA88" i="7"/>
  <c r="AA67" i="7"/>
  <c r="AG45" i="8"/>
  <c r="AE17" i="8"/>
  <c r="AG17" i="8" s="1"/>
  <c r="AB76" i="8"/>
  <c r="AG40" i="8"/>
  <c r="AB94" i="8"/>
  <c r="AB77" i="8"/>
  <c r="AB99" i="8"/>
  <c r="AB87" i="8"/>
  <c r="AE32" i="8"/>
  <c r="AG32" i="8" s="1"/>
  <c r="AB91" i="8"/>
  <c r="AE43" i="8"/>
  <c r="AG43" i="8" s="1"/>
  <c r="AE24" i="8"/>
  <c r="AG24" i="8" s="1"/>
  <c r="AB83" i="8"/>
  <c r="AC48" i="8"/>
  <c r="AG48" i="8" s="1"/>
  <c r="AE26" i="8"/>
  <c r="AG26" i="8" s="1"/>
  <c r="AB85" i="8"/>
  <c r="AE39" i="8"/>
  <c r="AG39" i="8" s="1"/>
  <c r="AB98" i="8"/>
  <c r="AE41" i="8"/>
  <c r="AG41" i="8" s="1"/>
  <c r="AB100" i="8"/>
  <c r="AE47" i="8"/>
  <c r="AG47" i="8" s="1"/>
  <c r="AB106" i="8"/>
  <c r="AE33" i="8"/>
  <c r="AG33" i="8" s="1"/>
  <c r="AB92" i="8"/>
  <c r="AE20" i="8"/>
  <c r="AG20" i="8" s="1"/>
  <c r="AB79" i="8"/>
  <c r="AE37" i="8"/>
  <c r="AG37" i="8" s="1"/>
  <c r="AB96" i="8"/>
  <c r="AB104" i="8"/>
  <c r="AB88" i="8"/>
  <c r="AB110" i="8"/>
  <c r="AE21" i="8"/>
  <c r="AG21" i="8" s="1"/>
  <c r="AB80" i="8"/>
  <c r="AE27" i="8"/>
  <c r="AG27" i="8" s="1"/>
  <c r="AB86" i="8"/>
  <c r="AE31" i="8"/>
  <c r="AG31" i="8" s="1"/>
  <c r="AB90" i="8"/>
  <c r="K102" i="11"/>
  <c r="AE15" i="8"/>
  <c r="AG15" i="8" s="1"/>
  <c r="AB74" i="8"/>
  <c r="AE13" i="8"/>
  <c r="AG13" i="8" s="1"/>
  <c r="AB72" i="8"/>
  <c r="AB73" i="8"/>
  <c r="AE25" i="7"/>
  <c r="AG25" i="7" s="1"/>
  <c r="AE12" i="8"/>
  <c r="AG12" i="8" s="1"/>
  <c r="AG14" i="8"/>
  <c r="AE14" i="7"/>
  <c r="AG14" i="7" s="1"/>
  <c r="AE22" i="7"/>
  <c r="AG22" i="7" s="1"/>
  <c r="AE26" i="7"/>
  <c r="AG26" i="7" s="1"/>
  <c r="AE18" i="7"/>
  <c r="AG18" i="7" s="1"/>
  <c r="AE15" i="7"/>
  <c r="AG15" i="7" s="1"/>
  <c r="AE19" i="7"/>
  <c r="AE23" i="7"/>
  <c r="AG23" i="7" s="1"/>
  <c r="AE27" i="7"/>
  <c r="AG27" i="7" s="1"/>
  <c r="AG19" i="7"/>
  <c r="AE12" i="7"/>
  <c r="AG12" i="7" s="1"/>
  <c r="AE20" i="7"/>
  <c r="AG20" i="7" s="1"/>
  <c r="AE24" i="7"/>
  <c r="AG24" i="7" s="1"/>
  <c r="AG17" i="7"/>
  <c r="AE16" i="7"/>
  <c r="AG16" i="7" s="1"/>
  <c r="AE28" i="7"/>
  <c r="AG28" i="7" s="1"/>
  <c r="N58" i="8"/>
  <c r="L15" i="12" s="1"/>
  <c r="I17" i="11"/>
  <c r="I46" i="11"/>
  <c r="J95" i="11"/>
  <c r="L94" i="11"/>
  <c r="L109" i="11"/>
  <c r="M106" i="11"/>
  <c r="M99" i="11"/>
  <c r="O59" i="7"/>
  <c r="M108" i="11" s="1"/>
  <c r="AE11" i="7"/>
  <c r="AG11" i="7" s="1"/>
  <c r="O58" i="7"/>
  <c r="M107" i="11" s="1"/>
  <c r="N60" i="7"/>
  <c r="O58" i="8"/>
  <c r="P58" i="8" s="1"/>
  <c r="L60" i="7"/>
  <c r="C4" i="13" l="1"/>
  <c r="C5" i="13" s="1"/>
  <c r="C6" i="13" s="1"/>
  <c r="B4" i="13"/>
  <c r="M15" i="12"/>
  <c r="M102" i="11"/>
  <c r="M95" i="11" s="1"/>
  <c r="L102" i="11"/>
  <c r="L95" i="11" s="1"/>
  <c r="L17" i="11" s="1"/>
  <c r="J46" i="11"/>
  <c r="I27" i="12"/>
  <c r="J17" i="11"/>
  <c r="K95" i="11"/>
  <c r="K17" i="11" s="1"/>
  <c r="M94" i="11"/>
  <c r="N108" i="11"/>
  <c r="M109" i="11"/>
  <c r="N107" i="11"/>
  <c r="O60" i="7"/>
  <c r="P59" i="7"/>
  <c r="P58" i="7"/>
  <c r="M60" i="7"/>
  <c r="U22" i="11" l="1"/>
  <c r="T22" i="11" s="1"/>
  <c r="U21" i="11"/>
  <c r="T21" i="11" s="1"/>
  <c r="N109" i="11"/>
  <c r="K46" i="11"/>
  <c r="N95" i="11"/>
  <c r="L46" i="11"/>
  <c r="N94" i="11"/>
  <c r="M17" i="11"/>
  <c r="M46" i="11"/>
  <c r="N102" i="11"/>
  <c r="U20" i="11" s="1"/>
  <c r="T20" i="11" s="1"/>
  <c r="P60" i="7"/>
  <c r="K27" i="12" l="1"/>
  <c r="L27" i="12"/>
  <c r="J27" i="12"/>
  <c r="N41" i="11"/>
  <c r="M27" i="12"/>
  <c r="N17" i="11"/>
  <c r="N46" i="11"/>
  <c r="N15" i="12" l="1"/>
  <c r="N27" i="12" l="1"/>
  <c r="E57" i="8" l="1"/>
  <c r="K57" i="8"/>
  <c r="I101" i="11" s="1"/>
  <c r="L57" i="8"/>
  <c r="G57" i="8"/>
  <c r="E101" i="11" s="1"/>
  <c r="F57" i="8"/>
  <c r="D101" i="11" s="1"/>
  <c r="I57" i="8"/>
  <c r="G101" i="11" s="1"/>
  <c r="H56" i="8"/>
  <c r="J57" i="8"/>
  <c r="H101" i="11" s="1"/>
  <c r="D57" i="8"/>
  <c r="O57" i="8"/>
  <c r="G56" i="8"/>
  <c r="H57" i="8"/>
  <c r="F101" i="11" s="1"/>
  <c r="F56" i="8"/>
  <c r="I56" i="8"/>
  <c r="J56" i="8"/>
  <c r="N56" i="8"/>
  <c r="O56" i="8"/>
  <c r="M56" i="8"/>
  <c r="K56" i="8"/>
  <c r="N57" i="8"/>
  <c r="L56" i="8"/>
  <c r="E56" i="8"/>
  <c r="M57" i="8"/>
  <c r="L101" i="11" l="1"/>
  <c r="L16" i="11" s="1"/>
  <c r="K101" i="11"/>
  <c r="K16" i="11" s="1"/>
  <c r="K59" i="8"/>
  <c r="I36" i="12"/>
  <c r="I16" i="12"/>
  <c r="I100" i="11"/>
  <c r="H100" i="11"/>
  <c r="H45" i="11" s="1"/>
  <c r="H16" i="12"/>
  <c r="H36" i="12"/>
  <c r="E36" i="12"/>
  <c r="E16" i="12"/>
  <c r="E100" i="11"/>
  <c r="E15" i="11" s="1"/>
  <c r="F100" i="11"/>
  <c r="F103" i="11" s="1"/>
  <c r="F36" i="12"/>
  <c r="F16" i="12"/>
  <c r="J101" i="11"/>
  <c r="J16" i="11" s="1"/>
  <c r="L36" i="12"/>
  <c r="L16" i="12"/>
  <c r="L100" i="11"/>
  <c r="K36" i="12"/>
  <c r="K16" i="12"/>
  <c r="K100" i="11"/>
  <c r="M101" i="11"/>
  <c r="M40" i="11" s="1"/>
  <c r="M42" i="11" s="1"/>
  <c r="E59" i="8"/>
  <c r="C36" i="12"/>
  <c r="C16" i="12"/>
  <c r="C100" i="11"/>
  <c r="J36" i="12"/>
  <c r="J16" i="12"/>
  <c r="J100" i="11"/>
  <c r="M36" i="12"/>
  <c r="M16" i="12"/>
  <c r="M100" i="11"/>
  <c r="M45" i="11" s="1"/>
  <c r="B101" i="11"/>
  <c r="B40" i="11" s="1"/>
  <c r="B36" i="12"/>
  <c r="C101" i="11"/>
  <c r="C40" i="11" s="1"/>
  <c r="I59" i="8"/>
  <c r="G16" i="12"/>
  <c r="G36" i="12"/>
  <c r="G100" i="11"/>
  <c r="G103" i="11" s="1"/>
  <c r="F59" i="8"/>
  <c r="D36" i="12"/>
  <c r="D16" i="12"/>
  <c r="D100" i="11"/>
  <c r="O59" i="8"/>
  <c r="D59" i="8"/>
  <c r="L59" i="8"/>
  <c r="M59" i="8"/>
  <c r="N59" i="8"/>
  <c r="G59" i="8"/>
  <c r="P56" i="8"/>
  <c r="J59" i="8"/>
  <c r="F40" i="11"/>
  <c r="F16" i="11"/>
  <c r="H40" i="11"/>
  <c r="H42" i="11" s="1"/>
  <c r="H16" i="11"/>
  <c r="F15" i="11"/>
  <c r="P57" i="8"/>
  <c r="H59" i="8"/>
  <c r="K40" i="11"/>
  <c r="K42" i="11" s="1"/>
  <c r="D16" i="11"/>
  <c r="D40" i="11"/>
  <c r="I40" i="11"/>
  <c r="I42" i="11" s="1"/>
  <c r="I16" i="11"/>
  <c r="L40" i="11"/>
  <c r="L42" i="11" s="1"/>
  <c r="G16" i="11"/>
  <c r="G40" i="11"/>
  <c r="G42" i="11" s="1"/>
  <c r="E16" i="11"/>
  <c r="E40" i="11"/>
  <c r="E45" i="11" l="1"/>
  <c r="H103" i="11"/>
  <c r="H93" i="11"/>
  <c r="N101" i="11"/>
  <c r="U19" i="11" s="1"/>
  <c r="T19" i="11" s="1"/>
  <c r="M16" i="11"/>
  <c r="F93" i="11"/>
  <c r="F96" i="11" s="1"/>
  <c r="J40" i="11"/>
  <c r="J42" i="11" s="1"/>
  <c r="E93" i="11"/>
  <c r="E96" i="11" s="1"/>
  <c r="E103" i="11"/>
  <c r="F45" i="11"/>
  <c r="F48" i="11" s="1"/>
  <c r="B16" i="11"/>
  <c r="H15" i="11"/>
  <c r="H22" i="11" s="1"/>
  <c r="H33" i="11" s="1"/>
  <c r="C16" i="11"/>
  <c r="K9" i="13"/>
  <c r="K31" i="13"/>
  <c r="K19" i="12" s="1"/>
  <c r="B9" i="13"/>
  <c r="M9" i="13"/>
  <c r="M31" i="13"/>
  <c r="M19" i="12" s="1"/>
  <c r="E9" i="13"/>
  <c r="E13" i="13" s="1"/>
  <c r="E22" i="13" s="1"/>
  <c r="E19" i="13" s="1"/>
  <c r="F9" i="13"/>
  <c r="F13" i="13" s="1"/>
  <c r="F22" i="13" s="1"/>
  <c r="F19" i="13" s="1"/>
  <c r="H9" i="13"/>
  <c r="H13" i="13" s="1"/>
  <c r="H22" i="13" s="1"/>
  <c r="H19" i="13" s="1"/>
  <c r="H31" i="13"/>
  <c r="H19" i="12" s="1"/>
  <c r="E22" i="11"/>
  <c r="L9" i="13"/>
  <c r="L31" i="13"/>
  <c r="L19" i="12" s="1"/>
  <c r="J9" i="13"/>
  <c r="J31" i="13"/>
  <c r="J19" i="12" s="1"/>
  <c r="C9" i="13"/>
  <c r="I9" i="13"/>
  <c r="I31" i="13"/>
  <c r="I19" i="12" s="1"/>
  <c r="G9" i="13"/>
  <c r="G31" i="13"/>
  <c r="G19" i="12" s="1"/>
  <c r="D9" i="13"/>
  <c r="G93" i="11"/>
  <c r="G96" i="11" s="1"/>
  <c r="G45" i="11"/>
  <c r="G48" i="11" s="1"/>
  <c r="G49" i="11" s="1"/>
  <c r="M93" i="11"/>
  <c r="M96" i="11" s="1"/>
  <c r="G15" i="11"/>
  <c r="G22" i="11" s="1"/>
  <c r="G33" i="11" s="1"/>
  <c r="M103" i="11"/>
  <c r="M15" i="11"/>
  <c r="P59" i="8"/>
  <c r="C103" i="11"/>
  <c r="C93" i="11"/>
  <c r="C15" i="11"/>
  <c r="C45" i="11"/>
  <c r="E48" i="11"/>
  <c r="F22" i="11"/>
  <c r="I93" i="11"/>
  <c r="I45" i="11"/>
  <c r="I15" i="11"/>
  <c r="I103" i="11"/>
  <c r="M48" i="11"/>
  <c r="M49" i="11" s="1"/>
  <c r="D93" i="11"/>
  <c r="D103" i="11"/>
  <c r="D45" i="11"/>
  <c r="D15" i="11"/>
  <c r="L103" i="11"/>
  <c r="L93" i="11"/>
  <c r="L15" i="11"/>
  <c r="L45" i="11"/>
  <c r="K93" i="11"/>
  <c r="K103" i="11"/>
  <c r="K45" i="11"/>
  <c r="K15" i="11"/>
  <c r="H96" i="11"/>
  <c r="J103" i="11"/>
  <c r="J45" i="11"/>
  <c r="J15" i="11"/>
  <c r="J93" i="11"/>
  <c r="H48" i="11"/>
  <c r="H49" i="11" s="1"/>
  <c r="B103" i="11"/>
  <c r="B45" i="11"/>
  <c r="N100" i="11"/>
  <c r="B93" i="11"/>
  <c r="B15" i="11"/>
  <c r="N16" i="11" l="1"/>
  <c r="N40" i="11"/>
  <c r="G13" i="13"/>
  <c r="G22" i="13" s="1"/>
  <c r="G19" i="13" s="1"/>
  <c r="M13" i="13"/>
  <c r="M22" i="13" s="1"/>
  <c r="M19" i="13" s="1"/>
  <c r="G18" i="12"/>
  <c r="M22" i="11"/>
  <c r="M33" i="11" s="1"/>
  <c r="M36" i="13" s="1"/>
  <c r="K22" i="11"/>
  <c r="K33" i="11" s="1"/>
  <c r="K13" i="13"/>
  <c r="K22" i="13" s="1"/>
  <c r="K19" i="13" s="1"/>
  <c r="D13" i="13"/>
  <c r="D22" i="13" s="1"/>
  <c r="D19" i="13" s="1"/>
  <c r="D22" i="11"/>
  <c r="B96" i="11"/>
  <c r="N93" i="11"/>
  <c r="N96" i="11" s="1"/>
  <c r="J96" i="11"/>
  <c r="K48" i="11"/>
  <c r="K49" i="11" s="1"/>
  <c r="L48" i="11"/>
  <c r="L49" i="11" s="1"/>
  <c r="D48" i="11"/>
  <c r="G31" i="12"/>
  <c r="G36" i="13"/>
  <c r="G34" i="11"/>
  <c r="I96" i="11"/>
  <c r="C48" i="11"/>
  <c r="N15" i="11"/>
  <c r="B22" i="11"/>
  <c r="J22" i="11"/>
  <c r="J33" i="11" s="1"/>
  <c r="J13" i="13"/>
  <c r="J22" i="13" s="1"/>
  <c r="J19" i="13" s="1"/>
  <c r="L22" i="11"/>
  <c r="L33" i="11" s="1"/>
  <c r="L13" i="13"/>
  <c r="L22" i="13" s="1"/>
  <c r="L19" i="13" s="1"/>
  <c r="M18" i="12"/>
  <c r="M29" i="12"/>
  <c r="M30" i="12" s="1"/>
  <c r="H31" i="12"/>
  <c r="H36" i="13"/>
  <c r="H34" i="11"/>
  <c r="C22" i="11"/>
  <c r="C13" i="13"/>
  <c r="C22" i="13" s="1"/>
  <c r="C19" i="13" s="1"/>
  <c r="I48" i="11"/>
  <c r="I49" i="11" s="1"/>
  <c r="U18" i="11"/>
  <c r="N103" i="11"/>
  <c r="N45" i="11"/>
  <c r="B48" i="11"/>
  <c r="H18" i="12"/>
  <c r="H22" i="12" s="1"/>
  <c r="H29" i="12"/>
  <c r="H30" i="12" s="1"/>
  <c r="F18" i="12"/>
  <c r="F29" i="12"/>
  <c r="F30" i="12" s="1"/>
  <c r="J48" i="11"/>
  <c r="J49" i="11" s="1"/>
  <c r="K96" i="11"/>
  <c r="L96" i="11"/>
  <c r="D96" i="11"/>
  <c r="I13" i="13"/>
  <c r="I22" i="13" s="1"/>
  <c r="I19" i="13" s="1"/>
  <c r="I22" i="11"/>
  <c r="I33" i="11" s="1"/>
  <c r="E18" i="12"/>
  <c r="E29" i="12"/>
  <c r="E30" i="12" s="1"/>
  <c r="C96" i="11"/>
  <c r="N22" i="11" l="1"/>
  <c r="M31" i="12"/>
  <c r="M34" i="11"/>
  <c r="G29" i="12"/>
  <c r="G30" i="12" s="1"/>
  <c r="G34" i="12" s="1"/>
  <c r="G22" i="12"/>
  <c r="M34" i="12"/>
  <c r="H34" i="12"/>
  <c r="C18" i="12"/>
  <c r="C29" i="12"/>
  <c r="C30" i="12" s="1"/>
  <c r="L29" i="12"/>
  <c r="L30" i="12" s="1"/>
  <c r="L18" i="12"/>
  <c r="N48" i="11"/>
  <c r="I18" i="12"/>
  <c r="I29" i="12"/>
  <c r="I30" i="12" s="1"/>
  <c r="N9" i="13"/>
  <c r="N13" i="13" s="1"/>
  <c r="B13" i="13"/>
  <c r="B22" i="13" s="1"/>
  <c r="I31" i="12"/>
  <c r="I36" i="13"/>
  <c r="I34" i="11"/>
  <c r="J18" i="12"/>
  <c r="J29" i="12"/>
  <c r="J30" i="12" s="1"/>
  <c r="D29" i="12"/>
  <c r="D30" i="12" s="1"/>
  <c r="D18" i="12"/>
  <c r="K29" i="12"/>
  <c r="K30" i="12" s="1"/>
  <c r="K18" i="12"/>
  <c r="N36" i="12"/>
  <c r="N16" i="12"/>
  <c r="N18" i="12" s="1"/>
  <c r="B18" i="12"/>
  <c r="B29" i="12"/>
  <c r="U25" i="11"/>
  <c r="T18" i="11"/>
  <c r="L34" i="11"/>
  <c r="L36" i="13"/>
  <c r="L31" i="12"/>
  <c r="J31" i="12"/>
  <c r="J34" i="11"/>
  <c r="J36" i="13"/>
  <c r="K34" i="11"/>
  <c r="K31" i="12"/>
  <c r="K36" i="13"/>
  <c r="M22" i="12" l="1"/>
  <c r="I34" i="12"/>
  <c r="K34" i="12"/>
  <c r="J22" i="12"/>
  <c r="L22" i="12"/>
  <c r="N29" i="12"/>
  <c r="N30" i="12" s="1"/>
  <c r="B30" i="12"/>
  <c r="K22" i="12"/>
  <c r="J34" i="12"/>
  <c r="I22" i="12"/>
  <c r="L34" i="12"/>
  <c r="N22" i="13"/>
  <c r="B19" i="13"/>
  <c r="N19" i="13" s="1"/>
  <c r="N42" i="13" l="1"/>
  <c r="E47" i="13"/>
  <c r="N47" i="13" s="1"/>
  <c r="N4" i="13" l="1"/>
  <c r="O4" i="13" s="1"/>
  <c r="B5" i="13" s="1"/>
  <c r="B6" i="13" l="1"/>
  <c r="N6" i="13" s="1"/>
  <c r="N5" i="13"/>
  <c r="B35" i="13" l="1"/>
  <c r="C27" i="11"/>
  <c r="C50" i="13" s="1"/>
  <c r="C30" i="11"/>
  <c r="C33" i="11" s="1"/>
  <c r="E27" i="11"/>
  <c r="D27" i="11"/>
  <c r="F35" i="13"/>
  <c r="F30" i="11"/>
  <c r="F39" i="11" s="1"/>
  <c r="F42" i="11" s="1"/>
  <c r="F49" i="11" s="1"/>
  <c r="B30" i="11"/>
  <c r="B31" i="13" s="1"/>
  <c r="B33" i="11" l="1"/>
  <c r="B34" i="11" s="1"/>
  <c r="C35" i="13"/>
  <c r="D35" i="13"/>
  <c r="D50" i="13"/>
  <c r="D51" i="13" s="1"/>
  <c r="E35" i="13"/>
  <c r="E50" i="13"/>
  <c r="E51" i="13" s="1"/>
  <c r="B39" i="11"/>
  <c r="B42" i="11" s="1"/>
  <c r="B49" i="11" s="1"/>
  <c r="C51" i="13"/>
  <c r="D30" i="11"/>
  <c r="E30" i="11"/>
  <c r="C31" i="13"/>
  <c r="C19" i="12" s="1"/>
  <c r="N35" i="13"/>
  <c r="C34" i="11"/>
  <c r="B19" i="12"/>
  <c r="B36" i="13"/>
  <c r="N27" i="11"/>
  <c r="F33" i="11"/>
  <c r="F34" i="11" s="1"/>
  <c r="F31" i="13"/>
  <c r="C39" i="11"/>
  <c r="C36" i="13" l="1"/>
  <c r="D31" i="13"/>
  <c r="D39" i="11"/>
  <c r="D42" i="11" s="1"/>
  <c r="D49" i="11" s="1"/>
  <c r="N30" i="11"/>
  <c r="E36" i="11" s="1"/>
  <c r="P29" i="11" s="1"/>
  <c r="N50" i="13"/>
  <c r="N51" i="13" s="1"/>
  <c r="B26" i="13" s="1"/>
  <c r="B27" i="13" s="1"/>
  <c r="D33" i="11"/>
  <c r="D34" i="11" s="1"/>
  <c r="E33" i="11"/>
  <c r="E34" i="11" s="1"/>
  <c r="E31" i="13"/>
  <c r="E39" i="11"/>
  <c r="E42" i="11" s="1"/>
  <c r="E49" i="11" s="1"/>
  <c r="C31" i="12"/>
  <c r="C34" i="12" s="1"/>
  <c r="C22" i="12"/>
  <c r="N33" i="11"/>
  <c r="U29" i="11" s="1"/>
  <c r="C42" i="11"/>
  <c r="B22" i="12"/>
  <c r="B31" i="12"/>
  <c r="F36" i="13"/>
  <c r="F19" i="12"/>
  <c r="P45" i="11" l="1"/>
  <c r="P48" i="11" s="1"/>
  <c r="P52" i="11" s="1"/>
  <c r="P53" i="11" s="1"/>
  <c r="N34" i="11"/>
  <c r="N39" i="11"/>
  <c r="E19" i="12"/>
  <c r="E36" i="13"/>
  <c r="N31" i="13"/>
  <c r="C26" i="13" s="1"/>
  <c r="U27" i="11"/>
  <c r="D19" i="12"/>
  <c r="N19" i="12" s="1"/>
  <c r="N22" i="12" s="1"/>
  <c r="D36" i="13"/>
  <c r="C49" i="11"/>
  <c r="N49" i="11" s="1"/>
  <c r="N42" i="11"/>
  <c r="F22" i="12"/>
  <c r="F31" i="12"/>
  <c r="F34" i="12" s="1"/>
  <c r="B34" i="12"/>
  <c r="P56" i="11" l="1"/>
  <c r="P57" i="11" s="1"/>
  <c r="P58" i="11" s="1"/>
  <c r="N36" i="13"/>
  <c r="D22" i="12"/>
  <c r="D31" i="12"/>
  <c r="D34" i="12" s="1"/>
  <c r="E31" i="12"/>
  <c r="E34" i="12" s="1"/>
  <c r="E22" i="12"/>
  <c r="E26" i="13"/>
  <c r="C27" i="13"/>
  <c r="E27" i="13" s="1"/>
  <c r="P61" i="11" l="1"/>
  <c r="P60" i="11"/>
  <c r="P59" i="11"/>
  <c r="N31" i="12"/>
  <c r="N34" i="12" s="1"/>
</calcChain>
</file>

<file path=xl/comments1.xml><?xml version="1.0" encoding="utf-8"?>
<comments xmlns="http://schemas.openxmlformats.org/spreadsheetml/2006/main">
  <authors>
    <author>Forfatter</author>
  </authors>
  <commentList>
    <comment ref="A9" authorId="0" shapeId="0">
      <text>
        <r>
          <rPr>
            <b/>
            <sz val="9"/>
            <color rgb="FF000000"/>
            <rFont val="Tahoma"/>
            <family val="2"/>
          </rPr>
          <t>Forfatter:</t>
        </r>
        <r>
          <rPr>
            <sz val="9"/>
            <color rgb="FF000000"/>
            <rFont val="Tahoma"/>
            <family val="2"/>
          </rPr>
          <t xml:space="preserve">
Det er antallet planlagte hovedaktiviteter som skal registreres. Nummereringen av aktivitetene i søknaden kan avvike dersom det registreres milepæler e.l. i søknad NFR</t>
        </r>
      </text>
    </comment>
  </commentList>
</comments>
</file>

<file path=xl/comments2.xml><?xml version="1.0" encoding="utf-8"?>
<comments xmlns="http://schemas.openxmlformats.org/spreadsheetml/2006/main">
  <authors>
    <author>Forfatter</author>
  </authors>
  <commentList>
    <comment ref="A11" authorId="0" shapeId="0">
      <text>
        <r>
          <rPr>
            <b/>
            <sz val="9"/>
            <color rgb="FF000000"/>
            <rFont val="Tahoma"/>
            <family val="2"/>
          </rPr>
          <t>Forfatter:</t>
        </r>
        <r>
          <rPr>
            <sz val="9"/>
            <color rgb="FF000000"/>
            <rFont val="Tahoma"/>
            <family val="2"/>
          </rPr>
          <t xml:space="preserve">
Dersom 1 person skal jobbe på flere hovedaktiviteter må han/hun budsjetteres på flere linjer (så Pers. 1 og Pers.2 kan være samme medarbeider)</t>
        </r>
      </text>
    </comment>
  </commentList>
</comments>
</file>

<file path=xl/comments3.xml><?xml version="1.0" encoding="utf-8"?>
<comments xmlns="http://schemas.openxmlformats.org/spreadsheetml/2006/main">
  <authors>
    <author>Forfatter</author>
  </authors>
  <commentList>
    <comment ref="A10" authorId="0" shapeId="0">
      <text>
        <r>
          <rPr>
            <b/>
            <sz val="9"/>
            <color indexed="81"/>
            <rFont val="Tahoma"/>
            <family val="2"/>
          </rPr>
          <t>Forfatter:</t>
        </r>
        <r>
          <rPr>
            <sz val="9"/>
            <color indexed="81"/>
            <rFont val="Tahoma"/>
            <family val="2"/>
          </rPr>
          <t xml:space="preserve">
Dersom 1 person skal jobbe på flere hovedaktiviteter må han/hun budsjetteres på flere linjer (så Pers. 1 og Pers.2 kan være samme medarbeider)</t>
        </r>
      </text>
    </comment>
  </commentList>
</comments>
</file>

<file path=xl/comments4.xml><?xml version="1.0" encoding="utf-8"?>
<comments xmlns="http://schemas.openxmlformats.org/spreadsheetml/2006/main">
  <authors>
    <author>Forfatter</author>
  </authors>
  <commentList>
    <comment ref="A48" authorId="0" shapeId="0">
      <text>
        <r>
          <rPr>
            <b/>
            <sz val="9"/>
            <color indexed="81"/>
            <rFont val="Tahoma"/>
            <family val="2"/>
          </rPr>
          <t>Forfatter:</t>
        </r>
        <r>
          <rPr>
            <sz val="9"/>
            <color indexed="81"/>
            <rFont val="Tahoma"/>
            <family val="2"/>
          </rPr>
          <t xml:space="preserve">
Det vises til kommentar vedrørende indirekte kostnader.
Instituttets lokale faste kostnader er lavere enn beløpet her.</t>
        </r>
      </text>
    </comment>
  </commentList>
</comments>
</file>

<file path=xl/comments5.xml><?xml version="1.0" encoding="utf-8"?>
<comments xmlns="http://schemas.openxmlformats.org/spreadsheetml/2006/main">
  <authors>
    <author>Forfatter</author>
  </authors>
  <commentList>
    <comment ref="A46" authorId="0" shapeId="0">
      <text>
        <r>
          <rPr>
            <b/>
            <sz val="9"/>
            <color indexed="81"/>
            <rFont val="Tahoma"/>
            <family val="2"/>
          </rPr>
          <t>Forfatter:</t>
        </r>
        <r>
          <rPr>
            <sz val="9"/>
            <color indexed="81"/>
            <rFont val="Tahoma"/>
            <family val="2"/>
          </rPr>
          <t xml:space="preserve">
Inkluderer alle stillinger det ikke gis rundsum for. 
F.eks tekniske stillinger</t>
        </r>
      </text>
    </comment>
  </commentList>
</comments>
</file>

<file path=xl/comments6.xml><?xml version="1.0" encoding="utf-8"?>
<comments xmlns="http://schemas.openxmlformats.org/spreadsheetml/2006/main">
  <authors>
    <author>Forfatter</author>
  </authors>
  <commentList>
    <comment ref="A16" authorId="0" shapeId="0">
      <text>
        <r>
          <rPr>
            <b/>
            <sz val="9"/>
            <color rgb="FF000000"/>
            <rFont val="Tahoma"/>
            <family val="2"/>
          </rPr>
          <t>Forfatter:</t>
        </r>
        <r>
          <rPr>
            <sz val="9"/>
            <color rgb="FF000000"/>
            <rFont val="Tahoma"/>
            <family val="2"/>
          </rPr>
          <t xml:space="preserve">
Omfatter medarbeidere som er definert som faste i forbindelse med budsjetteringen. Det forutsettes at det tilsvarer medarbeidere som er ansatt på "ramma"</t>
        </r>
      </text>
    </comment>
    <comment ref="A17" authorId="0" shapeId="0">
      <text>
        <r>
          <rPr>
            <b/>
            <sz val="9"/>
            <color indexed="81"/>
            <rFont val="Tahoma"/>
            <family val="2"/>
          </rPr>
          <t>Forfatter:</t>
        </r>
        <r>
          <rPr>
            <sz val="9"/>
            <color indexed="81"/>
            <rFont val="Tahoma"/>
            <family val="2"/>
          </rPr>
          <t xml:space="preserve">
Inkluderer kun prosjektets leiestedsbruk på eget institutt</t>
        </r>
      </text>
    </comment>
    <comment ref="A19" authorId="0" shapeId="0">
      <text>
        <r>
          <rPr>
            <b/>
            <sz val="9"/>
            <color indexed="81"/>
            <rFont val="Tahoma"/>
            <family val="2"/>
          </rPr>
          <t>Forfatter:</t>
        </r>
        <r>
          <rPr>
            <sz val="9"/>
            <color indexed="81"/>
            <rFont val="Tahoma"/>
            <family val="2"/>
          </rPr>
          <t xml:space="preserve">
Omfatter både lokal og sentral egenfinansiering</t>
        </r>
      </text>
    </comment>
    <comment ref="A28" authorId="0" shapeId="0">
      <text>
        <r>
          <rPr>
            <b/>
            <sz val="9"/>
            <color indexed="81"/>
            <rFont val="Tahoma"/>
            <family val="2"/>
          </rPr>
          <t>Forfatter:</t>
        </r>
        <r>
          <rPr>
            <sz val="9"/>
            <color indexed="81"/>
            <rFont val="Tahoma"/>
            <family val="2"/>
          </rPr>
          <t xml:space="preserve">
Denne raden inkluderer all leiestedsbruk planlagt på prosjektet, uavhengig av institutt. Vil derfor kunne avvike fra effekten på BFV (leiestedsinntekt eget institutt) ovenfor</t>
        </r>
      </text>
    </comment>
    <comment ref="A31" authorId="0" shapeId="0">
      <text>
        <r>
          <rPr>
            <b/>
            <sz val="9"/>
            <color indexed="81"/>
            <rFont val="Tahoma"/>
            <family val="2"/>
          </rPr>
          <t>Forfatter:</t>
        </r>
        <r>
          <rPr>
            <sz val="9"/>
            <color indexed="81"/>
            <rFont val="Tahoma"/>
            <family val="2"/>
          </rPr>
          <t xml:space="preserve">
Samme kommentar som under BFV - omfatter både sentral og lokal egenfinansiering</t>
        </r>
      </text>
    </comment>
  </commentList>
</comments>
</file>

<file path=xl/comments7.xml><?xml version="1.0" encoding="utf-8"?>
<comments xmlns="http://schemas.openxmlformats.org/spreadsheetml/2006/main">
  <authors>
    <author>Forfatter</author>
  </authors>
  <commentList>
    <comment ref="AP2" authorId="0" shapeId="0">
      <text>
        <r>
          <rPr>
            <b/>
            <sz val="9"/>
            <color indexed="81"/>
            <rFont val="Tahoma"/>
            <family val="2"/>
          </rPr>
          <t>Forfatter:</t>
        </r>
        <r>
          <rPr>
            <sz val="9"/>
            <color indexed="81"/>
            <rFont val="Tahoma"/>
            <family val="2"/>
          </rPr>
          <t xml:space="preserve">
Prisstigningen pr år er kummulativ</t>
        </r>
      </text>
    </comment>
    <comment ref="AT2" authorId="0" shapeId="0">
      <text>
        <r>
          <rPr>
            <b/>
            <sz val="9"/>
            <color indexed="81"/>
            <rFont val="Tahoma"/>
            <family val="2"/>
          </rPr>
          <t>Forfatter:</t>
        </r>
        <r>
          <rPr>
            <sz val="9"/>
            <color indexed="81"/>
            <rFont val="Tahoma"/>
            <family val="2"/>
          </rPr>
          <t xml:space="preserve">
Prisstigningen pr år er kummulativ</t>
        </r>
      </text>
    </comment>
  </commentList>
</comments>
</file>

<file path=xl/sharedStrings.xml><?xml version="1.0" encoding="utf-8"?>
<sst xmlns="http://schemas.openxmlformats.org/spreadsheetml/2006/main" count="1091" uniqueCount="552">
  <si>
    <t>Amanuensis</t>
  </si>
  <si>
    <t>Avdelingsdirektør</t>
  </si>
  <si>
    <t>Avdelingsingeniør</t>
  </si>
  <si>
    <t>Avdelingsleder</t>
  </si>
  <si>
    <t>Avdelingssykepleier</t>
  </si>
  <si>
    <t>Bedriftsfysioterapeut</t>
  </si>
  <si>
    <t>Bedriftslege</t>
  </si>
  <si>
    <t>Bedriftssykepleier</t>
  </si>
  <si>
    <t>Bibliotekar</t>
  </si>
  <si>
    <t>Dekan</t>
  </si>
  <si>
    <t>Direktør</t>
  </si>
  <si>
    <t>Dosent</t>
  </si>
  <si>
    <t>Driftsleder</t>
  </si>
  <si>
    <t>Driftsoperatør</t>
  </si>
  <si>
    <t>Driftstekniker</t>
  </si>
  <si>
    <t>Fagarbeider m/fagbrev</t>
  </si>
  <si>
    <t>Forsker</t>
  </si>
  <si>
    <t>Forskningssjef</t>
  </si>
  <si>
    <t>Fullmektig</t>
  </si>
  <si>
    <t>Førsteamanuensis</t>
  </si>
  <si>
    <t>Førsteamanuensis II</t>
  </si>
  <si>
    <t>Førstebibliotekar</t>
  </si>
  <si>
    <t>Førstefullmektig</t>
  </si>
  <si>
    <t>Førstekonsulent</t>
  </si>
  <si>
    <t>Førstelektor</t>
  </si>
  <si>
    <t>Førstesekretær</t>
  </si>
  <si>
    <t>Hjelpearbeider</t>
  </si>
  <si>
    <t>Hovedbibliotekar</t>
  </si>
  <si>
    <t>Høgskolelektor</t>
  </si>
  <si>
    <t>Høgskolelærer/øvingslærer</t>
  </si>
  <si>
    <t>Ingeniør</t>
  </si>
  <si>
    <t>Instituttleder</t>
  </si>
  <si>
    <t>Klinikkveterinær</t>
  </si>
  <si>
    <t>Konsulent</t>
  </si>
  <si>
    <t>Kontorsjef</t>
  </si>
  <si>
    <t>Laboratorieassistent</t>
  </si>
  <si>
    <t>Lærling</t>
  </si>
  <si>
    <t>Lærling (reform  94)</t>
  </si>
  <si>
    <t>Overingeniør</t>
  </si>
  <si>
    <t>Postdoktor</t>
  </si>
  <si>
    <t>Professor</t>
  </si>
  <si>
    <t>Professor II</t>
  </si>
  <si>
    <t>Prorektor</t>
  </si>
  <si>
    <t>Prosjektleder</t>
  </si>
  <si>
    <t>Psykolog med godkjent spesiali</t>
  </si>
  <si>
    <t>Renholder</t>
  </si>
  <si>
    <t>Renholdsleder</t>
  </si>
  <si>
    <t>Rådgiver</t>
  </si>
  <si>
    <t>Sekretær</t>
  </si>
  <si>
    <t>Seksjonssjef</t>
  </si>
  <si>
    <t>Seniorarkitekt</t>
  </si>
  <si>
    <t>Senioringeniør</t>
  </si>
  <si>
    <t>Seniorkonsulent</t>
  </si>
  <si>
    <t>Seniorrådgiver</t>
  </si>
  <si>
    <t>Sjefingeniør</t>
  </si>
  <si>
    <t>Sjåfør</t>
  </si>
  <si>
    <t>Spesialbibliotekar</t>
  </si>
  <si>
    <t>Stipendiat</t>
  </si>
  <si>
    <t>Tekniker</t>
  </si>
  <si>
    <t>Undervisningsleder</t>
  </si>
  <si>
    <t>Unge arbeidstakere</t>
  </si>
  <si>
    <t>Universitetsbibliotekar</t>
  </si>
  <si>
    <t>Universitetslektor</t>
  </si>
  <si>
    <t>Universitetslektor I</t>
  </si>
  <si>
    <t>Vitenskapelig assistent</t>
  </si>
  <si>
    <t>Lønnstrinn</t>
  </si>
  <si>
    <t>B-tabell</t>
  </si>
  <si>
    <t> </t>
  </si>
  <si>
    <t>Årslønn</t>
  </si>
  <si>
    <t>Ltr</t>
  </si>
  <si>
    <r>
      <t>   Bruttolønn</t>
    </r>
    <r>
      <rPr>
        <b/>
        <vertAlign val="superscript"/>
        <sz val="10"/>
        <rFont val="Arial"/>
        <family val="2"/>
      </rPr>
      <t>1) Pr. År</t>
    </r>
  </si>
  <si>
    <r>
      <t xml:space="preserve">       Bruttolønn - OU </t>
    </r>
    <r>
      <rPr>
        <b/>
        <vertAlign val="superscript"/>
        <sz val="10"/>
        <rFont val="Arial"/>
        <family val="2"/>
      </rPr>
      <t>2) Pr år</t>
    </r>
  </si>
  <si>
    <t>   Pr. mnd.</t>
  </si>
  <si>
    <t>Time</t>
  </si>
  <si>
    <t>Dagslønn</t>
  </si>
  <si>
    <t xml:space="preserve">Stilling </t>
  </si>
  <si>
    <t>Tekn./adm.</t>
  </si>
  <si>
    <t>Kategori</t>
  </si>
  <si>
    <t>Direkte</t>
  </si>
  <si>
    <t>Total</t>
  </si>
  <si>
    <t>~ltr</t>
  </si>
  <si>
    <t>Årsverk forskning TDI</t>
  </si>
  <si>
    <t>Vekt forsk.årsverk</t>
  </si>
  <si>
    <t>Ny sats forskning</t>
  </si>
  <si>
    <t>Kostnadsbærer arb.plass</t>
  </si>
  <si>
    <t>Vekt arb.plass</t>
  </si>
  <si>
    <t>Ny arb.plassats</t>
  </si>
  <si>
    <t>NTNU</t>
  </si>
  <si>
    <t>HiST</t>
  </si>
  <si>
    <t>HiG</t>
  </si>
  <si>
    <t>HiÅ</t>
  </si>
  <si>
    <t>Sum</t>
  </si>
  <si>
    <t xml:space="preserve">Pr time: </t>
  </si>
  <si>
    <t>Personressurs</t>
  </si>
  <si>
    <t>Stillingsbetegnelse</t>
  </si>
  <si>
    <t>Pers.1</t>
  </si>
  <si>
    <t>Pers.2</t>
  </si>
  <si>
    <t>Pers.3</t>
  </si>
  <si>
    <t>Pers.4</t>
  </si>
  <si>
    <t>Pers.5</t>
  </si>
  <si>
    <t>Pers.6</t>
  </si>
  <si>
    <t>Pers.7</t>
  </si>
  <si>
    <t>Pers.8</t>
  </si>
  <si>
    <t>Pers.9</t>
  </si>
  <si>
    <t>Pers.10</t>
  </si>
  <si>
    <t>Pers.11</t>
  </si>
  <si>
    <t>Pers.12</t>
  </si>
  <si>
    <t>Pers.13</t>
  </si>
  <si>
    <t>Pers.14</t>
  </si>
  <si>
    <t>Pers.15</t>
  </si>
  <si>
    <t>Pers.16</t>
  </si>
  <si>
    <t>Pers.17</t>
  </si>
  <si>
    <t>Pers.18</t>
  </si>
  <si>
    <t>Årslønn med ferieuttak</t>
  </si>
  <si>
    <t>Sosiale kostnader</t>
  </si>
  <si>
    <t>% sosiale</t>
  </si>
  <si>
    <t>Vitenskapelig</t>
  </si>
  <si>
    <t>Prosjekttittel</t>
  </si>
  <si>
    <t>Startdato</t>
  </si>
  <si>
    <t>Sluttdato</t>
  </si>
  <si>
    <t>Budsjettenhet</t>
  </si>
  <si>
    <t>År</t>
  </si>
  <si>
    <t>Måneder</t>
  </si>
  <si>
    <t>Antall enheter</t>
  </si>
  <si>
    <t>Årsverkssats i kr</t>
  </si>
  <si>
    <t>Indirekte kostnader</t>
  </si>
  <si>
    <t>Direkte kostnader</t>
  </si>
  <si>
    <t xml:space="preserve">Total </t>
  </si>
  <si>
    <t xml:space="preserve">Oppsummering direktebelastet lønn: </t>
  </si>
  <si>
    <t xml:space="preserve">Oppsummering timeført lønn: </t>
  </si>
  <si>
    <t>Priskategori</t>
  </si>
  <si>
    <t>Tekn./Adm. 7</t>
  </si>
  <si>
    <t>Forsker 7</t>
  </si>
  <si>
    <t>Tekn./Adm. 6</t>
  </si>
  <si>
    <t>Forsker 6</t>
  </si>
  <si>
    <t>Tekn./Adm. 5</t>
  </si>
  <si>
    <t>Forsker 5</t>
  </si>
  <si>
    <t>Tekn./Adm. 4</t>
  </si>
  <si>
    <t>Forsker 4</t>
  </si>
  <si>
    <t>Tekn./Adm. 3</t>
  </si>
  <si>
    <t>Forsker 3</t>
  </si>
  <si>
    <t>Forsker 2</t>
  </si>
  <si>
    <t>Tekn./Adm. 2</t>
  </si>
  <si>
    <t>Tekn./Adm. 1</t>
  </si>
  <si>
    <t>Forsker 1</t>
  </si>
  <si>
    <t>Indirekte</t>
  </si>
  <si>
    <t>Antall timer</t>
  </si>
  <si>
    <t>Direkte kostnad</t>
  </si>
  <si>
    <t>Indirekte kostnad</t>
  </si>
  <si>
    <t xml:space="preserve">Tabell ajour pr: </t>
  </si>
  <si>
    <t xml:space="preserve">Tabell ajour pr </t>
  </si>
  <si>
    <t>Driftskategori</t>
  </si>
  <si>
    <t>Investeringer</t>
  </si>
  <si>
    <t>Andre driftskostnader</t>
  </si>
  <si>
    <t>Reisekostnader</t>
  </si>
  <si>
    <t>Prio</t>
  </si>
  <si>
    <t>Kostnadstype</t>
  </si>
  <si>
    <t>Beskrivelse</t>
  </si>
  <si>
    <t>Sum total</t>
  </si>
  <si>
    <t>Oppsummering driftskostnader</t>
  </si>
  <si>
    <t>Finansieringskilde 3</t>
  </si>
  <si>
    <t>Finansieringskilde 4</t>
  </si>
  <si>
    <t>Sum Ekstern finansiering</t>
  </si>
  <si>
    <t>Sentral NTNU-finansiering (RSO osv)</t>
  </si>
  <si>
    <t xml:space="preserve">Instituttets egenfinansiering </t>
  </si>
  <si>
    <t>Prosjektets effekt på BFV</t>
  </si>
  <si>
    <t>Prosjekttype</t>
  </si>
  <si>
    <t>Hovedfinansieringsskilde</t>
  </si>
  <si>
    <t>Bidrag</t>
  </si>
  <si>
    <t xml:space="preserve">Oppsummering budsjett for prosjekt: </t>
  </si>
  <si>
    <t>Prosjektleder:</t>
  </si>
  <si>
    <t xml:space="preserve">Driftskostnader for prosjekt: </t>
  </si>
  <si>
    <t xml:space="preserve">Timebudsjett for prosjekt: </t>
  </si>
  <si>
    <t xml:space="preserve">Lønnsbudsjett for prosjekt: </t>
  </si>
  <si>
    <t>Blå celler fylles ut</t>
  </si>
  <si>
    <t>Kummulativ</t>
  </si>
  <si>
    <t>pr år</t>
  </si>
  <si>
    <t>Prisstigning direktelønn</t>
  </si>
  <si>
    <t>Prisstigning Timelønn</t>
  </si>
  <si>
    <t>Næringsphd</t>
  </si>
  <si>
    <t>Andre leiested</t>
  </si>
  <si>
    <t>Eget leiested</t>
  </si>
  <si>
    <t>Fast ansatt?</t>
  </si>
  <si>
    <t>Ja</t>
  </si>
  <si>
    <t>Nei</t>
  </si>
  <si>
    <t>BFV</t>
  </si>
  <si>
    <t>Totalt</t>
  </si>
  <si>
    <t>Dekning indirekte kostnader fra BOA</t>
  </si>
  <si>
    <t>Lønnsoverføring fra BOA</t>
  </si>
  <si>
    <t>Leiestedsinntekt (på eget institutt) fra BOA</t>
  </si>
  <si>
    <t>Brutto overføringer fra BOA</t>
  </si>
  <si>
    <t>Egenfinansiering BOA</t>
  </si>
  <si>
    <t>Insentivmidler EU</t>
  </si>
  <si>
    <t>Avslutning bidragsprosjekter</t>
  </si>
  <si>
    <t>Netto overføringer fra BOA</t>
  </si>
  <si>
    <t>BOA</t>
  </si>
  <si>
    <t>Leiestedskostnader</t>
  </si>
  <si>
    <t>Lønnsoverføring til BFV</t>
  </si>
  <si>
    <t>Brutto overføringer til BFV</t>
  </si>
  <si>
    <t>Egenfinansiering fra BFV</t>
  </si>
  <si>
    <t>Avslutning BOA-prosjekter</t>
  </si>
  <si>
    <t>Netto overføringer til BFV</t>
  </si>
  <si>
    <t>Lønnskostnader grunnlag for indirekte kostnader</t>
  </si>
  <si>
    <t>Ekstern finansiering og sentral NTNU-finans.</t>
  </si>
  <si>
    <t>Prosjektets bidrag til instituttets BFV</t>
  </si>
  <si>
    <t>Andre direkte kostnader</t>
  </si>
  <si>
    <t>Kostnader (faste) som bidraget skal finansiere</t>
  </si>
  <si>
    <t>Sum faste kostnader (implisitt) i BFV</t>
  </si>
  <si>
    <t>Netto overføring fra BFV (egenfinansiering institutt)</t>
  </si>
  <si>
    <t>Alle tall i 1000kr</t>
  </si>
  <si>
    <t>%</t>
  </si>
  <si>
    <t>Tekn./Adm. 7 ikke ferieuttak</t>
  </si>
  <si>
    <t>Tekn./Adm. 6 ikke ferieuttak</t>
  </si>
  <si>
    <t>Tekn./Adm. 5 ikke ferieuttak</t>
  </si>
  <si>
    <t>Tekn./Adm. 4 ikke ferieuttak</t>
  </si>
  <si>
    <t>Tekn./Adm. 3 ikke ferieuttak</t>
  </si>
  <si>
    <t>Tekn./Adm. 2 ikke ferieuttak</t>
  </si>
  <si>
    <t>Tekn./Adm. 1 ikke ferieuttak</t>
  </si>
  <si>
    <t>Forsker 7 ikke ferieuttak</t>
  </si>
  <si>
    <t>Forsker 6 ikke ferieuttak</t>
  </si>
  <si>
    <t>Forsker 5 ikke ferieuttak</t>
  </si>
  <si>
    <t>Forsker 4 ikke ferieuttak</t>
  </si>
  <si>
    <t>Forsker 3 ikke ferieuttak</t>
  </si>
  <si>
    <t>Forsker 2 ikke ferieuttak</t>
  </si>
  <si>
    <t>Forsker 1 ikke ferieuttak</t>
  </si>
  <si>
    <t>19F</t>
  </si>
  <si>
    <t>20F</t>
  </si>
  <si>
    <t>21F</t>
  </si>
  <si>
    <t>22F</t>
  </si>
  <si>
    <t>23F</t>
  </si>
  <si>
    <t>24F</t>
  </si>
  <si>
    <t>25F</t>
  </si>
  <si>
    <t>26F</t>
  </si>
  <si>
    <t>27F</t>
  </si>
  <si>
    <t>28F</t>
  </si>
  <si>
    <t>29F</t>
  </si>
  <si>
    <t>30F</t>
  </si>
  <si>
    <t>31F</t>
  </si>
  <si>
    <t>32F</t>
  </si>
  <si>
    <t>33F</t>
  </si>
  <si>
    <t>34F</t>
  </si>
  <si>
    <t>35F</t>
  </si>
  <si>
    <t>36F</t>
  </si>
  <si>
    <t>37F</t>
  </si>
  <si>
    <t>38F</t>
  </si>
  <si>
    <t>39F</t>
  </si>
  <si>
    <t>40F</t>
  </si>
  <si>
    <t>41F</t>
  </si>
  <si>
    <t>42F</t>
  </si>
  <si>
    <t>43F</t>
  </si>
  <si>
    <t>44F</t>
  </si>
  <si>
    <t>45F</t>
  </si>
  <si>
    <t>46F</t>
  </si>
  <si>
    <t>47F</t>
  </si>
  <si>
    <t>48F</t>
  </si>
  <si>
    <t>49F</t>
  </si>
  <si>
    <t>50F</t>
  </si>
  <si>
    <t>51F</t>
  </si>
  <si>
    <t>52F</t>
  </si>
  <si>
    <t>53F</t>
  </si>
  <si>
    <t>54F</t>
  </si>
  <si>
    <t>55F</t>
  </si>
  <si>
    <t>56F</t>
  </si>
  <si>
    <t>57F</t>
  </si>
  <si>
    <t>58F</t>
  </si>
  <si>
    <t>59F</t>
  </si>
  <si>
    <t>60F</t>
  </si>
  <si>
    <t>61F</t>
  </si>
  <si>
    <t>62F</t>
  </si>
  <si>
    <t>63F</t>
  </si>
  <si>
    <t>64F</t>
  </si>
  <si>
    <t>65F</t>
  </si>
  <si>
    <t>66F</t>
  </si>
  <si>
    <t>67F</t>
  </si>
  <si>
    <t>68F</t>
  </si>
  <si>
    <t>69F</t>
  </si>
  <si>
    <t>70F</t>
  </si>
  <si>
    <t>71F</t>
  </si>
  <si>
    <t>72F</t>
  </si>
  <si>
    <t>73F</t>
  </si>
  <si>
    <t>74F</t>
  </si>
  <si>
    <t>75F</t>
  </si>
  <si>
    <t>76F</t>
  </si>
  <si>
    <t>77F</t>
  </si>
  <si>
    <t>78F</t>
  </si>
  <si>
    <t>79F</t>
  </si>
  <si>
    <t>80F</t>
  </si>
  <si>
    <t>81F</t>
  </si>
  <si>
    <t>82F</t>
  </si>
  <si>
    <t>83F</t>
  </si>
  <si>
    <t>84F</t>
  </si>
  <si>
    <t>85F</t>
  </si>
  <si>
    <t>86F</t>
  </si>
  <si>
    <t>87F</t>
  </si>
  <si>
    <t>88F</t>
  </si>
  <si>
    <t>89F</t>
  </si>
  <si>
    <t>90F</t>
  </si>
  <si>
    <t>91F</t>
  </si>
  <si>
    <t>92F</t>
  </si>
  <si>
    <t>93F</t>
  </si>
  <si>
    <t>94F</t>
  </si>
  <si>
    <t>95F</t>
  </si>
  <si>
    <t>96F</t>
  </si>
  <si>
    <t>97F</t>
  </si>
  <si>
    <t>98F</t>
  </si>
  <si>
    <t>99F</t>
  </si>
  <si>
    <t>100F</t>
  </si>
  <si>
    <t>Malen gjelder for ett prosjekt. Skal man budsjettere flere delprosjekt eller for forskjellige k-sted anbefales det at man først budsjetterer hovedprosjektet, og deretter deler opp i delprosjekt eller k-sted.</t>
  </si>
  <si>
    <t>Gjennomgående logikk i arket er at blå celler er inputceller, mens hvite celler er låst for redigering pga formelbruk.</t>
  </si>
  <si>
    <t>For hjelp med malen, eller rapportering av feil, send mail til:</t>
  </si>
  <si>
    <t>Om de ulike arkfanene</t>
  </si>
  <si>
    <t>1-4 er er rene inputfaner. Dvs her skal man kun legge inn data.</t>
  </si>
  <si>
    <t>Om innlegging av data</t>
  </si>
  <si>
    <t>5. Oppsummering budsjett</t>
  </si>
  <si>
    <t>Arket oppsummerer budsjettet, og viser effekten på instituttets BFV. Prosjektbudsjett skal godkjennes av instituttleder.</t>
  </si>
  <si>
    <t>Kostnadsfordeling og finansieringen vises også grafisk i form av kakediagrammer.</t>
  </si>
  <si>
    <t>Om skjulte faner</t>
  </si>
  <si>
    <t>Det ligger en rekke skjulte faner i arbeidsboken, dette for å gjøre malen så oversiktlig som mulig.</t>
  </si>
  <si>
    <t>Det er likevel mulig å hente fram de skjulte fanene. Dette gjøres ved å høyreklikke på en tilfeldig valt fane --&gt; Trykk Vis --&gt; Man får opp en liste over de skjulte fanene --&gt; Velg de man vil vise.</t>
  </si>
  <si>
    <t>Oppslag</t>
  </si>
  <si>
    <t xml:space="preserve">Dette er en teknisk fane for å hente verdier til nedtrekkslister i de ulike fanene. </t>
  </si>
  <si>
    <t>Versjonslogg</t>
  </si>
  <si>
    <t>Regnskapsseksjonen fører logg over alle endringer.</t>
  </si>
  <si>
    <t>Budsjettmal for bidragsprosjekter</t>
  </si>
  <si>
    <t>"Prosjektinfo", "Budsjettering - Direkte lønn", "Budsjettering - Timer" og "Budsjettering - Drift" er rene inputfaner. Dvs her skal man kun legge inn data.</t>
  </si>
  <si>
    <t>"Oppsummering Budsjett" og "Samspill BOA-BFV" er såkalte outputfaner, som viser resultatet av hva man har lagt inn i fanene 1-4. Det er likevel noen iputvalg også her.</t>
  </si>
  <si>
    <t>2. Budsjettering - Direkte lønn</t>
  </si>
  <si>
    <t>Her skal man legge inn antatt tidsbruk for det antall årsverk eller månedsverk som skal arbeide på prosjektet.</t>
  </si>
  <si>
    <t>Kolonne B: En nedtrekksliste bestemmer stillingskategori, denne må man bruke. Stillingsbetegnelsene "oversettes" til medarbeiderkategorier (Forsker 1 osv) av modellen.</t>
  </si>
  <si>
    <t>Kolonne A: Fritekstfelt for beskrivelse av resursen</t>
  </si>
  <si>
    <t xml:space="preserve">Kolonne C: Lønntrinn. Denne foreslås på bakgrunn av valgt stilling. Kan overstyres med ønsket lønnstrinn </t>
  </si>
  <si>
    <t xml:space="preserve">Merk: Det eksisterer to spesielle stillingstyper: "NæringsPhD" og "Forsker/Tekn.adm 1-7 ikke ferieuttak" Førstnevnte er kun satt opp med indirekte kostnader, ingen lønnsutgifter. </t>
  </si>
  <si>
    <t>"Forsker/Tekn.adm 1-7 ikke ferieuttak" tar ikke høyde for ferieuttak og har således høyere lønn og sosiale kostnader og medføglende indirekte kostnader. For bruk til kortere ansettelser hvor det ikke vil bli tatt ut ferie i perioden.</t>
  </si>
  <si>
    <t>1. Prosjektinfo</t>
  </si>
  <si>
    <t xml:space="preserve">For registrering av basis prosjektinformasjon. </t>
  </si>
  <si>
    <t xml:space="preserve">Startår legger grunnlaget for alle budsjetteringsfanene </t>
  </si>
  <si>
    <t>3. Budsjettering - Timer</t>
  </si>
  <si>
    <t xml:space="preserve">For budsjettering av personresurser som skal føre timer på prosjektet </t>
  </si>
  <si>
    <t>Linje 18-21: Her skal man registrere den eksterne finansieringen på prosjektet, og det er også mulig å angi i kolonne A navnet på finansieringskilden</t>
  </si>
  <si>
    <t>Malen bruker gjennomgående grupperte rader og kolonner for å holde det oversiktlig. For å få tilgang til flere år eller linjer kan man hente de frem ved å trykke på +tegnet på de respektive fanene</t>
  </si>
  <si>
    <t>4. Budsjettering Drift</t>
  </si>
  <si>
    <t xml:space="preserve">For budsjettering av driftskostnader på prosjektet </t>
  </si>
  <si>
    <t xml:space="preserve">Kolonne B: Fritekstfelt for beskrivelse av kostnaden </t>
  </si>
  <si>
    <t xml:space="preserve">Kolonne C+: Her legger man inn faktisk kostnad pr år </t>
  </si>
  <si>
    <t xml:space="preserve">Merk: I motsetning til tidligere maler legger ikke denne malen opp driftskostnader pr default for stipendiater. </t>
  </si>
  <si>
    <t>Oppgave</t>
  </si>
  <si>
    <t>Tekst</t>
  </si>
  <si>
    <t>Linjetype</t>
  </si>
  <si>
    <t>Antall</t>
  </si>
  <si>
    <t>100</t>
  </si>
  <si>
    <t>Prosjektarbeid (Timeførende personell)</t>
  </si>
  <si>
    <t>Tid</t>
  </si>
  <si>
    <t>200</t>
  </si>
  <si>
    <t>Leiestedsbelastninger</t>
  </si>
  <si>
    <t>B400</t>
  </si>
  <si>
    <t>Investeringer - Budsjett</t>
  </si>
  <si>
    <t>Beløp</t>
  </si>
  <si>
    <t>B600</t>
  </si>
  <si>
    <t>Andre driftskostnader - Budsjett</t>
  </si>
  <si>
    <t>B710</t>
  </si>
  <si>
    <t>Reisekostnader - Budsjett</t>
  </si>
  <si>
    <t>Sum Kostpris</t>
  </si>
  <si>
    <t>Automatisk beregnet egenfinansiering</t>
  </si>
  <si>
    <t>Forslag, budsjett til Maconomy</t>
  </si>
  <si>
    <t xml:space="preserve">Merk at budsjettmalen indeksjusterer timesatser frem i tid, i motsetning til Maconomy som legger til grunn årets sats for alle timer. </t>
  </si>
  <si>
    <t>Norges Forskningsråd</t>
  </si>
  <si>
    <t>Finansieres ved rundsum?</t>
  </si>
  <si>
    <t>Stillinger finansiert av NFR</t>
  </si>
  <si>
    <t xml:space="preserve">Stipendiat </t>
  </si>
  <si>
    <t>Andre</t>
  </si>
  <si>
    <t>Blå felt kan fylles ut</t>
  </si>
  <si>
    <t>Kostnadsplan</t>
  </si>
  <si>
    <t>Personal og indirekte kostnad</t>
  </si>
  <si>
    <t>Utstyr</t>
  </si>
  <si>
    <t>Kostnadssted</t>
  </si>
  <si>
    <t>Næringsliv</t>
  </si>
  <si>
    <t>Instituttsektor</t>
  </si>
  <si>
    <t>UoH-sektor</t>
  </si>
  <si>
    <t>Andre sektorer</t>
  </si>
  <si>
    <t>Utlandet</t>
  </si>
  <si>
    <t>Finansieringsplan</t>
  </si>
  <si>
    <t>Egenfinansiering (total NTNU finansiering)</t>
  </si>
  <si>
    <t>Internasjonale midler</t>
  </si>
  <si>
    <t>Offentlig finansiering</t>
  </si>
  <si>
    <t>Privat finansiering</t>
  </si>
  <si>
    <t>Forskningsrådet</t>
  </si>
  <si>
    <t>Søkes Norges Forskningsråd</t>
  </si>
  <si>
    <t>Studentstipend</t>
  </si>
  <si>
    <t>Doktorgradsstipend</t>
  </si>
  <si>
    <t>Postdoktorstipend</t>
  </si>
  <si>
    <t>Gjesteforskerstipend</t>
  </si>
  <si>
    <t>Utenlandsstipend</t>
  </si>
  <si>
    <t>Forskerstilling</t>
  </si>
  <si>
    <t>Timebasert lønn inkl. indirekte kostnader</t>
  </si>
  <si>
    <t>Sum personal og indirekte kostnader</t>
  </si>
  <si>
    <t>Rundsumstillinger Norges forskningsråd</t>
  </si>
  <si>
    <t>Annen bevilgning Norges forskningsråd</t>
  </si>
  <si>
    <t>5-7 er såkalte outputfaner, som viser resultatet av hva man har lagt inn i fanene 1-4. Det er likevel noen inputvalg også her.</t>
  </si>
  <si>
    <t>6. NFR-søknad</t>
  </si>
  <si>
    <t xml:space="preserve">Budsjettoppstilling i henhold til NFRs søknadsmal. </t>
  </si>
  <si>
    <t xml:space="preserve">Alle tall vises i 1000kr. Her fylles blåe celler ut. </t>
  </si>
  <si>
    <t>08.02.2016: Versjon 1.0 foreligger</t>
  </si>
  <si>
    <t xml:space="preserve">Kostnadsplan, finansiering fra NFR og egenfinansiering er gitt fra tidligere faner. Øvrig finansiering samt fordeling av kostnader som søkes dekt av NFR må fylles ut </t>
  </si>
  <si>
    <t>Denne malen skal brukes i budsjettering og i søknadsfasen for et bidragsprosjekt hvor NFR er en av finansieringskildene. Hent alltid siste versjon av malen ved budsjettering av et nytt prosjekt.</t>
  </si>
  <si>
    <t>Kolonne B: En nedtrekksliste bestemmer stillingskategori, denne må man bruke. Stillingsbetegnelsene gir forslag til lønnstrinn som oversettes til medarbeiderkategorier (Forsker 1 osv) av modellen.</t>
  </si>
  <si>
    <t>Kolonne C: Lønntrinn. Denne foreslås på bakgrunn av valgt stilling. Kan overstyres med ønsket lønnstrinn, men man må velge ny stillingkategori i kolonne E</t>
  </si>
  <si>
    <t>Merk at er det øvrig finansiering i tillegg til rundsum fra NFR må dette legges inn manuelt i rad 19</t>
  </si>
  <si>
    <t xml:space="preserve">15.02.2016 Rettet en feil i kostnadstabbelen i fane 6. NFR-søknad. </t>
  </si>
  <si>
    <t>Sats indirekte kostnader</t>
  </si>
  <si>
    <t>ltr</t>
  </si>
  <si>
    <t xml:space="preserve">07.03.2016: Versjon 1.2 foreligger. Endret på beregning av indirekte kostnader, samt la til utregning av kostnader for faste ansatte også på direkteført lønn. </t>
  </si>
  <si>
    <t>18F</t>
  </si>
  <si>
    <t xml:space="preserve">14.03.2016: Versjon 1.3 foreligger: Stillingskoder uten ferieuttak vil nå også få beregnet indirekte kostnader </t>
  </si>
  <si>
    <t>31.03.2016: Versjon 1.4 foreligger. La til totalkolonne i budsjett til Maconomy</t>
  </si>
  <si>
    <t>Kostpris pr enhet</t>
  </si>
  <si>
    <t>Kostpris total</t>
  </si>
  <si>
    <t>101F</t>
  </si>
  <si>
    <t>Lønn - inkl. faste tillegg</t>
  </si>
  <si>
    <t>15.12.2016: Versjon 2.0 med timepriser 2017</t>
  </si>
  <si>
    <t>kontakt@okavd.ntnu.no</t>
  </si>
  <si>
    <t>31.05.2017: Versjon 2.2 - mulighet for å budsjettere 12 år (for SFF'er etc. som trenger 11 kalenderår for et 10-års prosjekt)</t>
  </si>
  <si>
    <t>Prosjekt-lønnet?</t>
  </si>
  <si>
    <t>Prosjekt-lønn?</t>
  </si>
  <si>
    <t>Sum dir.belastet lønn - rammelønnede</t>
  </si>
  <si>
    <t>Sum dir.belastet lønn - prosjektlønnede</t>
  </si>
  <si>
    <t>Sum dir. timekostnad - rammelønnede</t>
  </si>
  <si>
    <t>Sum indirekte kostnader fra timekostn.</t>
  </si>
  <si>
    <t>Direkte personalkostnader samlet (prosjekt og ramme)</t>
  </si>
  <si>
    <t>Personalkostnader timeføring (ramme)</t>
  </si>
  <si>
    <t>Sum direkteførte personalkostnader fordelt på budsjettarter (prosjekt- og rammelønnede)</t>
  </si>
  <si>
    <t>Totale Personalkostnader</t>
  </si>
  <si>
    <t>Sum direkte personalkostnader - rammelønnede</t>
  </si>
  <si>
    <t>Sum direkte personalkostnader - prosjektlønnede</t>
  </si>
  <si>
    <t>Sum indirekte kostnader fra direktebelastninger</t>
  </si>
  <si>
    <t>Totalt direkteførte personalkostnader</t>
  </si>
  <si>
    <t>Sum timeførte personalkostnader fordelt på budsjettarter (rammelønnede)</t>
  </si>
  <si>
    <t>Totalt timeførte personalkostnader</t>
  </si>
  <si>
    <t>Sum direkte timekostnad - rammelønnede</t>
  </si>
  <si>
    <t>Sum indirekte kostnader fra timekostnad</t>
  </si>
  <si>
    <t>Direkte lønnskostn. Prosjektlønnede</t>
  </si>
  <si>
    <t>Direkte lønnskostnader rammelønnede</t>
  </si>
  <si>
    <t>Indirekte kostnader - ramme og prosjekt</t>
  </si>
  <si>
    <t>Sum periodiserte kostnader</t>
  </si>
  <si>
    <t>Direkte personalkostnader - rammelønnede</t>
  </si>
  <si>
    <t>Direkte personalkostnader - prosjektlønnede</t>
  </si>
  <si>
    <t>Indirekte personalkostnader</t>
  </si>
  <si>
    <t>Direktebelastet dir. lønnskostnader - rammelønnede</t>
  </si>
  <si>
    <t>Dir. lønnskostnader - prosjektlønnede</t>
  </si>
  <si>
    <t>Kolonne A: Nedtrekksliste for type driftskostnad. Fra og med versjon 2.3 er det ikke lenger mulig å budsjettere gjennomstrømmingsmidler/Kjøp av FOU-tjenester, dette skal behandles i koordinatormal/koordinatorprosjekt</t>
  </si>
  <si>
    <t>Innkjøp av FoU-tjenester (Ikke aktuelt i NTNUs del - må håndteres i koordinatormal)</t>
  </si>
  <si>
    <t>Person-ressurs</t>
  </si>
  <si>
    <t>30.06.2017: Versjon 2.3 - Oppsummering/periodisering tilpasset mer detaljert budsjettering/periodisering av personalkostnader, og andre driftskostnader. Gjennomstrømming er tatt ut av budsjettmalen</t>
  </si>
  <si>
    <t>Sum personalkostnader samlet - direktekostnader fordelt etter belastningsmåte</t>
  </si>
  <si>
    <t>Timepris År 1</t>
  </si>
  <si>
    <t>Vektet timepris år 1</t>
  </si>
  <si>
    <t>Dette er kostpris år1</t>
  </si>
  <si>
    <t>Avvik mellom timekostnad indeksregulert og år 1 er justert her</t>
  </si>
  <si>
    <t>Stillings-betegnelse</t>
  </si>
  <si>
    <t>Leiestedskostnader eget institutt</t>
  </si>
  <si>
    <t>Indir. Kostn på prosjektbelastn. - budsjett</t>
  </si>
  <si>
    <t>Kolonne D: Nedtrekksliste. Man må her angi om vedkommende får (en andel av) lønnen belastet direkte på prosjektet eller om belastning vil skje via ompostering (art 9021)</t>
  </si>
  <si>
    <t xml:space="preserve">Kolonne E: Nedtrekksliste. Her velger man om valgt stilling skal finansieres over rundsum fra NFR. Merk at kune PhD, postdoktor og forskerstillinger kan finansieres over rundsum </t>
  </si>
  <si>
    <t>Kolonne F: Her velger man hvilken tidsenhet man vil budsjettere lønn ut i fra: Årsverk eller månedsverk</t>
  </si>
  <si>
    <t>Kolonne G: Her legger man inn arbeidsinnsatsen ut i fra hvilken tidsenhet man valgte i kolonne D.</t>
  </si>
  <si>
    <t>Kolonne G: Her legger man inn arbeidsinnsatsen</t>
  </si>
  <si>
    <t>Fra og med versjon 2.3 justeres differansen mellom indeksregulert timeført kostnad og årets satser via linjen Direkte prosjektbelastning - rammelønnede i Maconomybudsjettet</t>
  </si>
  <si>
    <t>Indir. Kostn. Timer K</t>
  </si>
  <si>
    <t>Indir. Kostn. Timer D</t>
  </si>
  <si>
    <t>01.08.2017: Versjon 2.4 - Lønnstabell pr. 1.5.17 lagt inn</t>
  </si>
  <si>
    <t>B902</t>
  </si>
  <si>
    <t>B503</t>
  </si>
  <si>
    <t>B915</t>
  </si>
  <si>
    <t>B914</t>
  </si>
  <si>
    <t>B913</t>
  </si>
  <si>
    <t>Satser NFR (2023+ er anslag)</t>
  </si>
  <si>
    <t>03.01.2018: Versjon 2.50 - Timepriser 2018 samt NFRs stipendsatser er oppdatert</t>
  </si>
  <si>
    <t>25.01.2018: Versjon 2.51 - Korrigert en feil i fane 3. Budsjettering timer - celle C10/D10. Dessuten er det gjort en helt marginal korreksjon av timeprisen for tekn./adm.4</t>
  </si>
  <si>
    <t>Budsjett godkjent</t>
  </si>
  <si>
    <t>Dato</t>
  </si>
  <si>
    <t>Signatur inst.leder</t>
  </si>
  <si>
    <t>Antall hovedaktiviteter</t>
  </si>
  <si>
    <t>Hoved-
aktivitet</t>
  </si>
  <si>
    <t>Pers.19</t>
  </si>
  <si>
    <t>Pers.20</t>
  </si>
  <si>
    <t>Pers.21</t>
  </si>
  <si>
    <t>Pers.22</t>
  </si>
  <si>
    <t>Pers.23</t>
  </si>
  <si>
    <t>Pers.24</t>
  </si>
  <si>
    <t>Pers.25</t>
  </si>
  <si>
    <t>Pers.26</t>
  </si>
  <si>
    <t>Pers.27</t>
  </si>
  <si>
    <t>Pers.28</t>
  </si>
  <si>
    <t>Pers.29</t>
  </si>
  <si>
    <t>Pers.30</t>
  </si>
  <si>
    <t>Pers.31</t>
  </si>
  <si>
    <t>Pers.32</t>
  </si>
  <si>
    <t>Pers.33</t>
  </si>
  <si>
    <t>Pers.34</t>
  </si>
  <si>
    <t>Pers.35</t>
  </si>
  <si>
    <t>Pers.36</t>
  </si>
  <si>
    <t>Pers.37</t>
  </si>
  <si>
    <t>Pers.38</t>
  </si>
  <si>
    <t>Pers.39</t>
  </si>
  <si>
    <t>Pers.40</t>
  </si>
  <si>
    <t>Hoved-
akt.</t>
  </si>
  <si>
    <t>Hovedakt.</t>
  </si>
  <si>
    <t>Egenfinansieringsandel (over prosjektets levetid) - beregnet på totalbudsjettet</t>
  </si>
  <si>
    <t xml:space="preserve">Sum finansiering </t>
  </si>
  <si>
    <t>Totalsum (for NTNU)</t>
  </si>
  <si>
    <t>Søkes Norges forskningsråd (for NTNU)</t>
  </si>
  <si>
    <t>Innkjøp av FoU-tjen.</t>
  </si>
  <si>
    <t>Kostnader pr. prosjektpartner pr. hovedaktivitet</t>
  </si>
  <si>
    <t>Finansiering pr. prosjektpartner</t>
  </si>
  <si>
    <t>Forsknings-
rådet</t>
  </si>
  <si>
    <t>Egen-
finansiering</t>
  </si>
  <si>
    <t>Annen
finansiering</t>
  </si>
  <si>
    <t>10.01.2019: Versjon 3.0 - Oppdatert med timepriser og indirekte kostnader for 2019. Omarbeidet malen slik at det budsjetteres pr. hovedaktivitet (ny budsjettmal NFR)</t>
  </si>
  <si>
    <t>Budsjett totalt eller for en hovedaktivitet</t>
  </si>
  <si>
    <t>Lønnstabell pr 1. mai 2018 - YS/UNIO/LO</t>
  </si>
  <si>
    <t>&lt; 444'</t>
  </si>
  <si>
    <t>444'-507'</t>
  </si>
  <si>
    <t>507'-573'</t>
  </si>
  <si>
    <t>573'-648'</t>
  </si>
  <si>
    <t>648'-765'</t>
  </si>
  <si>
    <t>765'-1.014'</t>
  </si>
  <si>
    <t>&gt;1.014'</t>
  </si>
  <si>
    <t>Navn på prosjekt</t>
  </si>
  <si>
    <t>Fly (t/r) + overnatting</t>
  </si>
  <si>
    <t>Diverse driftskostnader</t>
  </si>
  <si>
    <t>Leiested A</t>
  </si>
  <si>
    <t>Leiested B</t>
  </si>
  <si>
    <t>Kraftig datamaskin</t>
  </si>
  <si>
    <t>Bruk av allerede innkjøpt utstyr</t>
  </si>
  <si>
    <t xml:space="preserve">I utlysningen står det at NFR dekker inntil 10 MNOK per prosjekt i denne typen prosjekter. </t>
  </si>
  <si>
    <t>Differanse:</t>
  </si>
  <si>
    <t>Antall år:</t>
  </si>
  <si>
    <t>Flatt fordelt per år:</t>
  </si>
  <si>
    <t>Restriksjoner:</t>
  </si>
  <si>
    <t xml:space="preserve">Siden vi ønsker å få dekket investeringer pålydende 65.000 kr i 2019 må støtten utover rundsum fra NFR være minst 65.000 kr i 2019. </t>
  </si>
  <si>
    <t xml:space="preserve">Beløp til fordeling i 2020-2023. </t>
  </si>
  <si>
    <t xml:space="preserve">Beløp til fordeling flatt per år i 2020-23. </t>
  </si>
  <si>
    <t>Er restriksjonene oppfylt?</t>
  </si>
  <si>
    <t>Arbeidspakker</t>
  </si>
  <si>
    <t>Kostnader</t>
  </si>
  <si>
    <t>Prosjektledelse</t>
  </si>
  <si>
    <t>Veiledning (hensyntatt antall årsverk stipendiater)</t>
  </si>
  <si>
    <t>Prosjektarbeid</t>
  </si>
  <si>
    <t>Anne Ås</t>
  </si>
  <si>
    <t>Finansiert fra NFR</t>
  </si>
  <si>
    <t>"Andre driftskostnader fra ark 6. NFR-søknad:</t>
  </si>
  <si>
    <t>"Gjenstående fra NFR (diff over) til konferansedeltakelse</t>
  </si>
  <si>
    <t>"Andre driftskostnader" fra ark 4 … Drift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</si>
</sst>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_ * #,##0.00_ ;_ * \-#,##0.00_ ;_ * &quot;-&quot;??_ ;_ @_ "/>
    <numFmt numFmtId="166" formatCode="_ * #,##0_ ;_ * \-#,##0_ ;_ * &quot;-&quot;??_ ;_ @_ "/>
    <numFmt numFmtId="167" formatCode="0_ ;\-0\ "/>
    <numFmt numFmtId="168" formatCode="#,##0.0_ ;\-#,##0.0\ "/>
    <numFmt numFmtId="169" formatCode="_ * #,##0.000_ ;_ * \-#,##0.000_ ;_ * &quot;-&quot;??_ ;_ @_ "/>
    <numFmt numFmtId="170" formatCode="_ * #,##0.0_ ;_ * \-#,##0.0_ ;_ * &quot;-&quot;?_ ;_ @_ "/>
    <numFmt numFmtId="171" formatCode="_ * #,##0.0_ ;_ * \-#,##0.0_ ;_ * &quot;-&quot;??_ ;_ @_ "/>
    <numFmt numFmtId="172" formatCode="0.000"/>
    <numFmt numFmtId="173" formatCode="&quot;kr&quot;\ #,##0"/>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2"/>
      <name val="Times New Roman"/>
      <family val="1"/>
    </font>
    <font>
      <b/>
      <vertAlign val="superscript"/>
      <sz val="10"/>
      <name val="Arial"/>
      <family val="2"/>
    </font>
    <font>
      <sz val="8"/>
      <name val="Arial"/>
      <family val="2"/>
    </font>
    <font>
      <sz val="11"/>
      <color indexed="8"/>
      <name val="Calibri"/>
      <family val="2"/>
    </font>
    <font>
      <sz val="8"/>
      <color indexed="8"/>
      <name val="Arial"/>
      <family val="2"/>
    </font>
    <font>
      <sz val="9"/>
      <name val="Arial"/>
      <family val="2"/>
    </font>
    <font>
      <b/>
      <sz val="10"/>
      <color theme="1"/>
      <name val="Arial"/>
      <family val="2"/>
    </font>
    <font>
      <b/>
      <sz val="12"/>
      <color theme="1"/>
      <name val="Calibri"/>
      <family val="2"/>
      <scheme val="minor"/>
    </font>
    <font>
      <b/>
      <sz val="14"/>
      <color theme="1"/>
      <name val="Calibri"/>
      <family val="2"/>
      <scheme val="minor"/>
    </font>
    <font>
      <b/>
      <sz val="18"/>
      <color theme="1"/>
      <name val="Calibri"/>
      <family val="2"/>
      <scheme val="minor"/>
    </font>
    <font>
      <b/>
      <sz val="16"/>
      <name val="Times New Roman"/>
      <family val="1"/>
    </font>
    <font>
      <sz val="10"/>
      <name val="Arial"/>
      <family val="2"/>
    </font>
    <font>
      <sz val="16"/>
      <color theme="1"/>
      <name val="Calibri"/>
      <family val="2"/>
      <scheme val="minor"/>
    </font>
    <font>
      <sz val="18"/>
      <color theme="1"/>
      <name val="Calibri"/>
      <family val="2"/>
      <scheme val="minor"/>
    </font>
    <font>
      <sz val="9"/>
      <color indexed="81"/>
      <name val="Tahoma"/>
      <family val="2"/>
    </font>
    <font>
      <b/>
      <sz val="9"/>
      <color indexed="81"/>
      <name val="Tahoma"/>
      <family val="2"/>
    </font>
    <font>
      <b/>
      <sz val="16"/>
      <color theme="1"/>
      <name val="Calibri"/>
      <family val="2"/>
      <scheme val="minor"/>
    </font>
    <font>
      <b/>
      <sz val="10"/>
      <color theme="0" tint="-0.499984740745262"/>
      <name val="Arial"/>
      <family val="2"/>
    </font>
    <font>
      <sz val="11"/>
      <color theme="0" tint="-0.499984740745262"/>
      <name val="Calibri"/>
      <family val="2"/>
      <scheme val="minor"/>
    </font>
    <font>
      <b/>
      <sz val="11"/>
      <color theme="0" tint="-0.499984740745262"/>
      <name val="Calibri"/>
      <family val="2"/>
      <scheme val="minor"/>
    </font>
    <font>
      <i/>
      <sz val="10"/>
      <name val="Arial"/>
      <family val="2"/>
    </font>
    <font>
      <sz val="11"/>
      <color rgb="FFFF0000"/>
      <name val="Calibri"/>
      <family val="2"/>
      <scheme val="minor"/>
    </font>
    <font>
      <u/>
      <sz val="11"/>
      <color theme="10"/>
      <name val="Calibri"/>
      <family val="2"/>
      <scheme val="minor"/>
    </font>
    <font>
      <i/>
      <sz val="10"/>
      <color theme="1"/>
      <name val="Calibri"/>
      <family val="2"/>
      <scheme val="minor"/>
    </font>
    <font>
      <b/>
      <sz val="14"/>
      <color rgb="FFFF0000"/>
      <name val="Calibri"/>
      <family val="2"/>
      <scheme val="minor"/>
    </font>
    <font>
      <sz val="8"/>
      <color theme="0" tint="-0.34998626667073579"/>
      <name val="Arial"/>
      <family val="2"/>
    </font>
    <font>
      <sz val="9"/>
      <color theme="0" tint="-0.34998626667073579"/>
      <name val="Arial"/>
      <family val="2"/>
    </font>
    <font>
      <sz val="11"/>
      <color theme="0" tint="-0.34998626667073579"/>
      <name val="Calibri"/>
      <family val="2"/>
      <scheme val="minor"/>
    </font>
    <font>
      <sz val="10"/>
      <name val="Calibri"/>
      <family val="2"/>
    </font>
    <font>
      <sz val="10"/>
      <color theme="0" tint="-0.249977111117893"/>
      <name val="Calibri"/>
      <family val="2"/>
    </font>
    <font>
      <sz val="11"/>
      <color theme="0" tint="-0.14999847407452621"/>
      <name val="Calibri"/>
      <family val="2"/>
      <scheme val="minor"/>
    </font>
    <font>
      <b/>
      <sz val="11"/>
      <color theme="0" tint="-0.14999847407452621"/>
      <name val="Calibri"/>
      <family val="2"/>
      <scheme val="minor"/>
    </font>
    <font>
      <b/>
      <sz val="11"/>
      <color rgb="FFFF0000"/>
      <name val="Calibri"/>
      <family val="2"/>
      <scheme val="minor"/>
    </font>
    <font>
      <sz val="11"/>
      <color theme="0" tint="-4.9989318521683403E-2"/>
      <name val="Calibri"/>
      <family val="2"/>
      <scheme val="minor"/>
    </font>
    <font>
      <i/>
      <sz val="11"/>
      <color theme="1"/>
      <name val="Calibri"/>
      <family val="2"/>
      <scheme val="minor"/>
    </font>
    <font>
      <sz val="12"/>
      <color theme="1"/>
      <name val="Calibri"/>
      <family val="2"/>
      <scheme val="minor"/>
    </font>
    <font>
      <b/>
      <sz val="9"/>
      <color rgb="FF000000"/>
      <name val="Tahoma"/>
      <family val="2"/>
    </font>
    <font>
      <sz val="9"/>
      <color rgb="FF000000"/>
      <name val="Tahoma"/>
      <family val="2"/>
    </font>
    <font>
      <b/>
      <sz val="11"/>
      <color theme="0"/>
      <name val="Calibri"/>
      <family val="2"/>
      <scheme val="minor"/>
    </font>
    <font>
      <sz val="11"/>
      <color theme="0"/>
      <name val="Calibri"/>
      <family val="2"/>
      <scheme val="minor"/>
    </font>
    <font>
      <b/>
      <sz val="11"/>
      <color theme="4" tint="-0.249977111117893"/>
      <name val="Calibri"/>
      <family val="2"/>
      <scheme val="minor"/>
    </font>
    <font>
      <sz val="11"/>
      <color theme="4" tint="-0.249977111117893"/>
      <name val="Calibri"/>
      <family val="2"/>
      <scheme val="minor"/>
    </font>
  </fonts>
  <fills count="14">
    <fill>
      <patternFill patternType="none"/>
    </fill>
    <fill>
      <patternFill patternType="gray125"/>
    </fill>
    <fill>
      <patternFill patternType="solid">
        <fgColor indexed="51"/>
        <bgColor indexed="64"/>
      </patternFill>
    </fill>
    <fill>
      <patternFill patternType="solid">
        <fgColor theme="0" tint="-4.9989318521683403E-2"/>
        <bgColor indexed="64"/>
      </patternFill>
    </fill>
    <fill>
      <patternFill patternType="solid">
        <fgColor indexed="26"/>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2" tint="-9.9978637043366805E-2"/>
        <bgColor indexed="64"/>
      </patternFill>
    </fill>
  </fills>
  <borders count="53">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ck">
        <color indexed="64"/>
      </bottom>
      <diagonal/>
    </border>
    <border>
      <left/>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xf numFmtId="0" fontId="15" fillId="0" borderId="0"/>
    <xf numFmtId="0" fontId="26" fillId="0" borderId="0" applyNumberFormat="0" applyFill="0" applyBorder="0" applyAlignment="0" applyProtection="0"/>
    <xf numFmtId="0" fontId="1" fillId="0" borderId="0"/>
  </cellStyleXfs>
  <cellXfs count="369">
    <xf numFmtId="0" fontId="0" fillId="0" borderId="0" xfId="0"/>
    <xf numFmtId="0" fontId="0" fillId="0" borderId="0" xfId="0" applyBorder="1"/>
    <xf numFmtId="0" fontId="3" fillId="2" borderId="0"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3" fontId="9" fillId="3" borderId="0" xfId="0" applyNumberFormat="1" applyFont="1" applyFill="1" applyBorder="1"/>
    <xf numFmtId="38" fontId="8" fillId="4" borderId="3" xfId="4" applyNumberFormat="1" applyFont="1" applyFill="1" applyBorder="1" applyProtection="1"/>
    <xf numFmtId="3" fontId="9" fillId="0" borderId="0" xfId="0" applyNumberFormat="1" applyFont="1" applyBorder="1"/>
    <xf numFmtId="4" fontId="9" fillId="0" borderId="4" xfId="0" applyNumberFormat="1" applyFont="1" applyBorder="1"/>
    <xf numFmtId="4" fontId="0" fillId="0" borderId="0" xfId="0" applyNumberFormat="1" applyBorder="1"/>
    <xf numFmtId="0" fontId="10" fillId="5" borderId="9" xfId="0" applyFont="1" applyFill="1" applyBorder="1" applyAlignment="1">
      <alignment horizontal="center"/>
    </xf>
    <xf numFmtId="0" fontId="10" fillId="5" borderId="1" xfId="0" applyFont="1" applyFill="1" applyBorder="1" applyAlignment="1">
      <alignment horizontal="right"/>
    </xf>
    <xf numFmtId="0" fontId="10" fillId="5" borderId="11" xfId="0" applyFont="1" applyFill="1" applyBorder="1" applyAlignment="1">
      <alignment horizontal="left"/>
    </xf>
    <xf numFmtId="0" fontId="10" fillId="5" borderId="12" xfId="0" applyFont="1" applyFill="1" applyBorder="1" applyAlignment="1">
      <alignment horizontal="left"/>
    </xf>
    <xf numFmtId="3" fontId="0" fillId="0" borderId="0" xfId="0" applyNumberFormat="1" applyBorder="1" applyAlignment="1">
      <alignment horizontal="center"/>
    </xf>
    <xf numFmtId="0" fontId="10" fillId="5" borderId="14" xfId="0" applyFont="1" applyFill="1" applyBorder="1" applyAlignment="1">
      <alignment horizontal="left"/>
    </xf>
    <xf numFmtId="3" fontId="0" fillId="0" borderId="15" xfId="0" applyNumberFormat="1" applyBorder="1" applyAlignment="1">
      <alignment horizontal="center"/>
    </xf>
    <xf numFmtId="166" fontId="0" fillId="0" borderId="0" xfId="1" applyNumberFormat="1" applyFont="1" applyBorder="1"/>
    <xf numFmtId="9" fontId="0" fillId="0" borderId="0" xfId="2" applyFont="1" applyBorder="1"/>
    <xf numFmtId="166" fontId="0" fillId="0" borderId="0" xfId="0" applyNumberFormat="1" applyBorder="1"/>
    <xf numFmtId="166" fontId="2" fillId="0" borderId="2" xfId="0" applyNumberFormat="1" applyFont="1" applyFill="1" applyBorder="1" applyAlignment="1" applyProtection="1">
      <alignment wrapText="1"/>
      <protection locked="0"/>
    </xf>
    <xf numFmtId="166" fontId="0" fillId="7" borderId="2" xfId="0" applyNumberFormat="1" applyFill="1" applyBorder="1" applyProtection="1">
      <protection locked="0"/>
    </xf>
    <xf numFmtId="166" fontId="0" fillId="8" borderId="2" xfId="0" applyNumberFormat="1" applyFill="1" applyBorder="1" applyProtection="1">
      <protection locked="0"/>
    </xf>
    <xf numFmtId="9" fontId="9" fillId="3" borderId="0" xfId="2" applyFont="1" applyFill="1" applyBorder="1"/>
    <xf numFmtId="168" fontId="0" fillId="7" borderId="2" xfId="0" applyNumberFormat="1" applyFill="1" applyBorder="1" applyProtection="1">
      <protection locked="0"/>
    </xf>
    <xf numFmtId="0" fontId="2" fillId="0" borderId="12" xfId="0" applyFont="1" applyBorder="1"/>
    <xf numFmtId="167" fontId="2" fillId="0" borderId="0" xfId="0" applyNumberFormat="1" applyFont="1" applyBorder="1"/>
    <xf numFmtId="0" fontId="2" fillId="0" borderId="14" xfId="0" applyFont="1" applyBorder="1"/>
    <xf numFmtId="3" fontId="2" fillId="0" borderId="13" xfId="0" applyNumberFormat="1" applyFont="1" applyBorder="1"/>
    <xf numFmtId="3" fontId="2" fillId="0" borderId="16" xfId="0" applyNumberFormat="1" applyFont="1" applyBorder="1"/>
    <xf numFmtId="0" fontId="2" fillId="0" borderId="13" xfId="0" applyFont="1" applyBorder="1" applyAlignment="1">
      <alignment horizontal="right"/>
    </xf>
    <xf numFmtId="49" fontId="2" fillId="0" borderId="2" xfId="0" applyNumberFormat="1" applyFont="1" applyFill="1" applyBorder="1" applyAlignment="1" applyProtection="1">
      <alignment wrapText="1"/>
      <protection locked="0"/>
    </xf>
    <xf numFmtId="164" fontId="0" fillId="7" borderId="2" xfId="0" applyNumberFormat="1" applyFill="1" applyBorder="1" applyProtection="1">
      <protection locked="0"/>
    </xf>
    <xf numFmtId="164" fontId="0" fillId="0" borderId="0" xfId="0" applyNumberFormat="1" applyBorder="1"/>
    <xf numFmtId="164" fontId="2" fillId="0" borderId="15" xfId="0" applyNumberFormat="1" applyFont="1" applyBorder="1"/>
    <xf numFmtId="164" fontId="2" fillId="0" borderId="13" xfId="0" applyNumberFormat="1" applyFont="1" applyBorder="1"/>
    <xf numFmtId="164" fontId="2" fillId="0" borderId="16" xfId="0" applyNumberFormat="1" applyFont="1" applyBorder="1"/>
    <xf numFmtId="167" fontId="2" fillId="0" borderId="0" xfId="0" applyNumberFormat="1" applyFont="1" applyFill="1" applyBorder="1" applyAlignment="1" applyProtection="1">
      <alignment wrapText="1"/>
      <protection locked="0"/>
    </xf>
    <xf numFmtId="166" fontId="2" fillId="0" borderId="13" xfId="0" applyNumberFormat="1" applyFont="1" applyFill="1" applyBorder="1" applyAlignment="1" applyProtection="1">
      <alignment wrapText="1"/>
      <protection locked="0"/>
    </xf>
    <xf numFmtId="0" fontId="0" fillId="0" borderId="12" xfId="0" applyBorder="1"/>
    <xf numFmtId="164" fontId="2" fillId="0" borderId="0" xfId="0" applyNumberFormat="1" applyFont="1" applyBorder="1"/>
    <xf numFmtId="0" fontId="2" fillId="0" borderId="0" xfId="0" applyFont="1" applyBorder="1" applyAlignment="1">
      <alignment horizontal="center"/>
    </xf>
    <xf numFmtId="167" fontId="2" fillId="0" borderId="0" xfId="0" applyNumberFormat="1" applyFont="1" applyBorder="1" applyAlignment="1">
      <alignment horizontal="center"/>
    </xf>
    <xf numFmtId="0" fontId="0" fillId="0" borderId="12" xfId="0" applyBorder="1" applyAlignment="1">
      <alignment horizontal="center"/>
    </xf>
    <xf numFmtId="0" fontId="2" fillId="0" borderId="13" xfId="0" applyFont="1" applyBorder="1" applyAlignment="1">
      <alignment horizontal="center"/>
    </xf>
    <xf numFmtId="164" fontId="0" fillId="7" borderId="0" xfId="0" applyNumberFormat="1" applyFill="1" applyBorder="1"/>
    <xf numFmtId="0" fontId="2" fillId="7" borderId="12" xfId="0" applyFont="1" applyFill="1" applyBorder="1"/>
    <xf numFmtId="0" fontId="0" fillId="10" borderId="0" xfId="0" applyFill="1"/>
    <xf numFmtId="0" fontId="12" fillId="10" borderId="0" xfId="0" applyFont="1" applyFill="1" applyBorder="1"/>
    <xf numFmtId="0" fontId="13" fillId="10" borderId="0" xfId="0" applyFont="1" applyFill="1"/>
    <xf numFmtId="9" fontId="13" fillId="10" borderId="0" xfId="2" applyFont="1" applyFill="1"/>
    <xf numFmtId="0" fontId="15" fillId="0" borderId="12" xfId="3" applyFont="1" applyFill="1" applyBorder="1" applyProtection="1"/>
    <xf numFmtId="0" fontId="14" fillId="0" borderId="11" xfId="0" applyFont="1" applyFill="1" applyBorder="1" applyProtection="1"/>
    <xf numFmtId="0" fontId="2" fillId="0" borderId="9" xfId="0" applyFont="1" applyBorder="1" applyAlignment="1">
      <alignment horizontal="center"/>
    </xf>
    <xf numFmtId="0" fontId="2" fillId="0" borderId="1" xfId="0" applyFont="1" applyBorder="1" applyAlignment="1">
      <alignment horizontal="right"/>
    </xf>
    <xf numFmtId="0" fontId="11" fillId="8" borderId="20" xfId="0" applyFont="1" applyFill="1" applyBorder="1" applyProtection="1"/>
    <xf numFmtId="164" fontId="11" fillId="8" borderId="21" xfId="0" applyNumberFormat="1" applyFont="1" applyFill="1" applyBorder="1" applyProtection="1"/>
    <xf numFmtId="164" fontId="11" fillId="8" borderId="22" xfId="0" applyNumberFormat="1" applyFont="1" applyFill="1" applyBorder="1" applyProtection="1"/>
    <xf numFmtId="0" fontId="0" fillId="7" borderId="0" xfId="0" applyFill="1"/>
    <xf numFmtId="0" fontId="2" fillId="0" borderId="11" xfId="0" applyFont="1" applyBorder="1"/>
    <xf numFmtId="0" fontId="2" fillId="7" borderId="0" xfId="0" applyFont="1" applyFill="1"/>
    <xf numFmtId="0" fontId="0" fillId="0" borderId="13" xfId="0" applyBorder="1"/>
    <xf numFmtId="0" fontId="0" fillId="0" borderId="14" xfId="0" applyBorder="1"/>
    <xf numFmtId="0" fontId="0" fillId="0" borderId="15" xfId="0" applyBorder="1"/>
    <xf numFmtId="0" fontId="0" fillId="0" borderId="16" xfId="0" applyBorder="1"/>
    <xf numFmtId="0" fontId="0" fillId="0" borderId="11" xfId="0" applyBorder="1"/>
    <xf numFmtId="0" fontId="0" fillId="0" borderId="9" xfId="0" applyBorder="1"/>
    <xf numFmtId="0" fontId="0" fillId="0" borderId="1" xfId="0" applyBorder="1"/>
    <xf numFmtId="3" fontId="0" fillId="0" borderId="0" xfId="0" applyNumberFormat="1" applyBorder="1"/>
    <xf numFmtId="3" fontId="0" fillId="0" borderId="15" xfId="0" applyNumberFormat="1" applyBorder="1"/>
    <xf numFmtId="166" fontId="0" fillId="0" borderId="15" xfId="0" applyNumberFormat="1" applyBorder="1"/>
    <xf numFmtId="0" fontId="10" fillId="5" borderId="11" xfId="0" applyFont="1" applyFill="1" applyBorder="1" applyAlignment="1">
      <alignment horizontal="center"/>
    </xf>
    <xf numFmtId="0" fontId="0" fillId="0" borderId="11" xfId="0" applyBorder="1" applyAlignment="1">
      <alignment wrapText="1"/>
    </xf>
    <xf numFmtId="0" fontId="2" fillId="0" borderId="9" xfId="0" applyFont="1" applyBorder="1" applyAlignment="1">
      <alignment wrapText="1"/>
    </xf>
    <xf numFmtId="0" fontId="2" fillId="0" borderId="1" xfId="0" applyFont="1" applyBorder="1" applyAlignment="1">
      <alignment wrapText="1"/>
    </xf>
    <xf numFmtId="0" fontId="2" fillId="0" borderId="12" xfId="0" applyFont="1" applyFill="1" applyBorder="1"/>
    <xf numFmtId="166" fontId="2" fillId="0" borderId="0" xfId="0" applyNumberFormat="1" applyFont="1" applyBorder="1"/>
    <xf numFmtId="166" fontId="2" fillId="0" borderId="13" xfId="0" applyNumberFormat="1" applyFont="1" applyBorder="1"/>
    <xf numFmtId="166" fontId="0" fillId="0" borderId="16" xfId="0" applyNumberFormat="1" applyBorder="1"/>
    <xf numFmtId="0" fontId="3" fillId="0" borderId="9" xfId="0" applyFont="1" applyBorder="1" applyAlignment="1"/>
    <xf numFmtId="1" fontId="2" fillId="0" borderId="9" xfId="0" applyNumberFormat="1" applyFont="1" applyBorder="1"/>
    <xf numFmtId="0" fontId="3" fillId="0" borderId="12" xfId="0" applyFont="1" applyBorder="1" applyAlignment="1">
      <alignment horizontal="center" wrapText="1"/>
    </xf>
    <xf numFmtId="0" fontId="0" fillId="0" borderId="0" xfId="0" applyBorder="1" applyAlignment="1">
      <alignment wrapText="1"/>
    </xf>
    <xf numFmtId="0" fontId="3" fillId="2" borderId="13" xfId="0" applyFont="1" applyFill="1" applyBorder="1" applyAlignment="1">
      <alignment horizontal="center" vertical="center" wrapText="1"/>
    </xf>
    <xf numFmtId="0" fontId="6" fillId="0" borderId="12" xfId="0" applyFont="1" applyBorder="1" applyAlignment="1">
      <alignment horizontal="center"/>
    </xf>
    <xf numFmtId="4" fontId="0" fillId="0" borderId="25" xfId="0" applyNumberFormat="1" applyBorder="1" applyAlignment="1">
      <alignment horizontal="center"/>
    </xf>
    <xf numFmtId="0" fontId="6" fillId="0" borderId="26" xfId="0" applyFont="1" applyBorder="1" applyAlignment="1">
      <alignment horizontal="center"/>
    </xf>
    <xf numFmtId="0" fontId="6" fillId="0" borderId="26" xfId="0" applyFont="1" applyFill="1" applyBorder="1" applyAlignment="1">
      <alignment horizontal="center"/>
    </xf>
    <xf numFmtId="0" fontId="6" fillId="0" borderId="27" xfId="0" applyFont="1" applyFill="1" applyBorder="1" applyAlignment="1">
      <alignment horizontal="center"/>
    </xf>
    <xf numFmtId="0" fontId="2" fillId="0" borderId="28" xfId="0" applyFont="1" applyBorder="1"/>
    <xf numFmtId="0" fontId="2" fillId="0" borderId="10" xfId="0" applyFont="1" applyBorder="1"/>
    <xf numFmtId="0" fontId="2" fillId="0" borderId="29" xfId="0" applyFont="1" applyBorder="1"/>
    <xf numFmtId="1" fontId="0" fillId="0" borderId="12" xfId="0" applyNumberFormat="1" applyBorder="1"/>
    <xf numFmtId="0" fontId="0" fillId="0" borderId="31" xfId="0" applyFont="1" applyFill="1" applyBorder="1" applyAlignment="1">
      <alignment wrapText="1"/>
    </xf>
    <xf numFmtId="0" fontId="0" fillId="0" borderId="32" xfId="0" applyBorder="1"/>
    <xf numFmtId="0" fontId="0" fillId="0" borderId="31" xfId="0" applyBorder="1"/>
    <xf numFmtId="0" fontId="0" fillId="11" borderId="30" xfId="0" applyFill="1" applyBorder="1"/>
    <xf numFmtId="1" fontId="0" fillId="0" borderId="14" xfId="0" applyNumberFormat="1" applyBorder="1"/>
    <xf numFmtId="0" fontId="2" fillId="0" borderId="0" xfId="0" applyFont="1" applyFill="1" applyBorder="1" applyAlignment="1">
      <alignment wrapText="1"/>
    </xf>
    <xf numFmtId="0" fontId="2" fillId="0" borderId="13" xfId="0" applyFont="1" applyFill="1" applyBorder="1" applyAlignment="1">
      <alignment wrapText="1"/>
    </xf>
    <xf numFmtId="166" fontId="0" fillId="0" borderId="0" xfId="0" applyNumberFormat="1" applyFill="1" applyBorder="1"/>
    <xf numFmtId="166" fontId="0" fillId="0" borderId="13" xfId="0" applyNumberFormat="1" applyFill="1" applyBorder="1"/>
    <xf numFmtId="0" fontId="17" fillId="11" borderId="0" xfId="0" applyFont="1" applyFill="1"/>
    <xf numFmtId="0" fontId="0" fillId="11" borderId="0" xfId="0" applyFill="1"/>
    <xf numFmtId="0" fontId="16" fillId="11" borderId="0" xfId="0" applyFont="1" applyFill="1"/>
    <xf numFmtId="14" fontId="16" fillId="11" borderId="0" xfId="0" applyNumberFormat="1" applyFont="1" applyFill="1"/>
    <xf numFmtId="169" fontId="0" fillId="0" borderId="0" xfId="0" applyNumberFormat="1" applyBorder="1"/>
    <xf numFmtId="169" fontId="0" fillId="0" borderId="15" xfId="0" applyNumberFormat="1" applyBorder="1"/>
    <xf numFmtId="0" fontId="0" fillId="0" borderId="0" xfId="0" applyFill="1" applyBorder="1"/>
    <xf numFmtId="3" fontId="0" fillId="0" borderId="0" xfId="0" applyNumberFormat="1" applyFill="1" applyBorder="1"/>
    <xf numFmtId="0" fontId="0" fillId="0" borderId="31" xfId="0" applyFill="1" applyBorder="1"/>
    <xf numFmtId="166" fontId="2" fillId="0" borderId="12" xfId="0" applyNumberFormat="1" applyFont="1" applyFill="1" applyBorder="1" applyAlignment="1" applyProtection="1">
      <alignment wrapText="1"/>
      <protection locked="0"/>
    </xf>
    <xf numFmtId="0" fontId="0" fillId="0" borderId="12" xfId="0" applyFill="1" applyBorder="1"/>
    <xf numFmtId="0" fontId="2" fillId="0" borderId="14" xfId="0" applyFont="1" applyFill="1" applyBorder="1"/>
    <xf numFmtId="0" fontId="2" fillId="11" borderId="30" xfId="0" applyFont="1" applyFill="1" applyBorder="1"/>
    <xf numFmtId="0" fontId="20" fillId="0" borderId="0" xfId="5" applyFont="1"/>
    <xf numFmtId="166" fontId="2" fillId="0" borderId="0" xfId="1" applyNumberFormat="1" applyFont="1" applyFill="1" applyBorder="1"/>
    <xf numFmtId="166" fontId="2" fillId="0" borderId="33" xfId="1" applyNumberFormat="1" applyFont="1" applyFill="1" applyBorder="1"/>
    <xf numFmtId="0" fontId="15" fillId="0" borderId="5" xfId="5" applyBorder="1"/>
    <xf numFmtId="166" fontId="2" fillId="0" borderId="5" xfId="1" applyNumberFormat="1" applyFont="1" applyFill="1" applyBorder="1"/>
    <xf numFmtId="0" fontId="15" fillId="0" borderId="33" xfId="5" applyFont="1" applyBorder="1"/>
    <xf numFmtId="166" fontId="1" fillId="0" borderId="0" xfId="1" applyNumberFormat="1" applyFont="1" applyFill="1" applyBorder="1"/>
    <xf numFmtId="166" fontId="2" fillId="0" borderId="33" xfId="0" applyNumberFormat="1" applyFont="1" applyBorder="1"/>
    <xf numFmtId="0" fontId="11" fillId="0" borderId="0" xfId="0" applyFont="1" applyFill="1" applyBorder="1" applyProtection="1"/>
    <xf numFmtId="0" fontId="15" fillId="0" borderId="34" xfId="5" applyBorder="1"/>
    <xf numFmtId="0" fontId="15" fillId="0" borderId="34" xfId="5" applyFont="1" applyBorder="1"/>
    <xf numFmtId="0" fontId="3" fillId="0" borderId="33" xfId="5" applyFont="1" applyBorder="1"/>
    <xf numFmtId="0" fontId="21" fillId="0" borderId="33" xfId="5" applyFont="1" applyBorder="1"/>
    <xf numFmtId="166" fontId="22" fillId="0" borderId="0" xfId="1" applyNumberFormat="1" applyFont="1" applyFill="1" applyBorder="1"/>
    <xf numFmtId="166" fontId="23" fillId="0" borderId="33" xfId="1" applyNumberFormat="1" applyFont="1" applyFill="1" applyBorder="1"/>
    <xf numFmtId="164" fontId="0" fillId="0" borderId="0" xfId="0" applyNumberFormat="1" applyFont="1" applyBorder="1" applyAlignment="1">
      <alignment horizontal="center"/>
    </xf>
    <xf numFmtId="164" fontId="2" fillId="0" borderId="13" xfId="0" applyNumberFormat="1" applyFont="1" applyBorder="1" applyAlignment="1">
      <alignment horizontal="right"/>
    </xf>
    <xf numFmtId="0" fontId="2" fillId="0" borderId="0" xfId="0" applyFont="1" applyBorder="1"/>
    <xf numFmtId="0" fontId="11" fillId="8" borderId="35" xfId="0" applyFont="1" applyFill="1" applyBorder="1" applyProtection="1"/>
    <xf numFmtId="164" fontId="11" fillId="8" borderId="36" xfId="0" applyNumberFormat="1" applyFont="1" applyFill="1" applyBorder="1" applyProtection="1"/>
    <xf numFmtId="164" fontId="11" fillId="8" borderId="6" xfId="0" applyNumberFormat="1" applyFont="1" applyFill="1" applyBorder="1" applyProtection="1"/>
    <xf numFmtId="0" fontId="3" fillId="0" borderId="12" xfId="3" applyFont="1" applyBorder="1" applyProtection="1"/>
    <xf numFmtId="0" fontId="15" fillId="0" borderId="12" xfId="3" applyFont="1" applyBorder="1" applyProtection="1"/>
    <xf numFmtId="0" fontId="24" fillId="0" borderId="12" xfId="3" applyFont="1" applyBorder="1" applyProtection="1"/>
    <xf numFmtId="167" fontId="2" fillId="0" borderId="6" xfId="1" applyNumberFormat="1" applyFont="1" applyFill="1" applyBorder="1" applyAlignment="1">
      <alignment horizontal="right"/>
    </xf>
    <xf numFmtId="164" fontId="0" fillId="8" borderId="2" xfId="0" applyNumberFormat="1" applyFill="1" applyBorder="1" applyProtection="1">
      <protection locked="0"/>
    </xf>
    <xf numFmtId="166" fontId="2" fillId="0" borderId="37" xfId="0" applyNumberFormat="1" applyFont="1" applyFill="1" applyBorder="1" applyAlignment="1" applyProtection="1">
      <alignment wrapText="1"/>
      <protection locked="0"/>
    </xf>
    <xf numFmtId="166" fontId="2" fillId="0" borderId="38" xfId="0" applyNumberFormat="1" applyFont="1" applyFill="1" applyBorder="1" applyAlignment="1" applyProtection="1">
      <alignment wrapText="1"/>
      <protection locked="0"/>
    </xf>
    <xf numFmtId="164" fontId="0" fillId="8" borderId="37" xfId="0" applyNumberFormat="1" applyFill="1" applyBorder="1" applyProtection="1">
      <protection locked="0"/>
    </xf>
    <xf numFmtId="0" fontId="0" fillId="0" borderId="1" xfId="0" applyFill="1" applyBorder="1"/>
    <xf numFmtId="9" fontId="0" fillId="0" borderId="13" xfId="2" applyFont="1" applyFill="1" applyBorder="1" applyAlignment="1">
      <alignment horizontal="center"/>
    </xf>
    <xf numFmtId="0" fontId="0" fillId="0" borderId="0" xfId="0" applyBorder="1" applyAlignment="1">
      <alignment horizontal="right"/>
    </xf>
    <xf numFmtId="0" fontId="0" fillId="0" borderId="15" xfId="0" applyBorder="1" applyAlignment="1">
      <alignment horizontal="right"/>
    </xf>
    <xf numFmtId="0" fontId="12" fillId="0" borderId="0" xfId="0" applyFont="1"/>
    <xf numFmtId="2" fontId="0" fillId="0" borderId="0" xfId="1" applyNumberFormat="1" applyFont="1"/>
    <xf numFmtId="0" fontId="26" fillId="0" borderId="0" xfId="6"/>
    <xf numFmtId="0" fontId="2" fillId="0" borderId="0" xfId="0" applyFont="1"/>
    <xf numFmtId="0" fontId="0" fillId="0" borderId="0" xfId="0" applyFont="1"/>
    <xf numFmtId="0" fontId="0" fillId="0" borderId="0" xfId="0" applyFill="1"/>
    <xf numFmtId="14" fontId="0" fillId="0" borderId="0" xfId="0" applyNumberFormat="1"/>
    <xf numFmtId="0" fontId="25" fillId="0" borderId="0" xfId="0" applyFont="1"/>
    <xf numFmtId="164" fontId="0" fillId="8" borderId="2" xfId="0" applyNumberFormat="1" applyFill="1" applyBorder="1" applyProtection="1"/>
    <xf numFmtId="166" fontId="0" fillId="7" borderId="2" xfId="0" applyNumberFormat="1" applyFill="1" applyBorder="1" applyProtection="1"/>
    <xf numFmtId="166" fontId="0" fillId="11" borderId="2" xfId="0" applyNumberFormat="1" applyFill="1" applyBorder="1" applyProtection="1"/>
    <xf numFmtId="164" fontId="0" fillId="11" borderId="2" xfId="0" applyNumberFormat="1" applyFill="1" applyBorder="1" applyProtection="1"/>
    <xf numFmtId="164" fontId="0" fillId="11" borderId="37" xfId="0" applyNumberFormat="1" applyFill="1" applyBorder="1" applyProtection="1"/>
    <xf numFmtId="167" fontId="2" fillId="0" borderId="2" xfId="0" applyNumberFormat="1" applyFont="1" applyFill="1" applyBorder="1" applyAlignment="1" applyProtection="1">
      <alignment wrapText="1"/>
    </xf>
    <xf numFmtId="164" fontId="2" fillId="9" borderId="2" xfId="0" applyNumberFormat="1" applyFont="1" applyFill="1" applyBorder="1" applyProtection="1"/>
    <xf numFmtId="167" fontId="2" fillId="0" borderId="0" xfId="0" applyNumberFormat="1" applyFont="1" applyFill="1" applyBorder="1" applyAlignment="1" applyProtection="1">
      <alignment wrapText="1"/>
    </xf>
    <xf numFmtId="3" fontId="0" fillId="0" borderId="13" xfId="0" applyNumberFormat="1" applyBorder="1"/>
    <xf numFmtId="0" fontId="0" fillId="0" borderId="12" xfId="0" applyBorder="1" applyAlignment="1">
      <alignment horizontal="left"/>
    </xf>
    <xf numFmtId="164" fontId="0" fillId="7" borderId="0" xfId="0" applyNumberFormat="1" applyFill="1" applyBorder="1" applyProtection="1">
      <protection locked="0"/>
    </xf>
    <xf numFmtId="0" fontId="0" fillId="7" borderId="1" xfId="0" applyFill="1" applyBorder="1" applyProtection="1">
      <protection locked="0"/>
    </xf>
    <xf numFmtId="0" fontId="0" fillId="7" borderId="13" xfId="0" applyFill="1" applyBorder="1" applyProtection="1">
      <protection locked="0"/>
    </xf>
    <xf numFmtId="14" fontId="0" fillId="7" borderId="13" xfId="0" applyNumberFormat="1" applyFill="1" applyBorder="1" applyAlignment="1" applyProtection="1">
      <alignment horizontal="left"/>
      <protection locked="0"/>
    </xf>
    <xf numFmtId="0" fontId="0" fillId="0" borderId="0" xfId="0" applyProtection="1">
      <protection locked="0"/>
    </xf>
    <xf numFmtId="3" fontId="0" fillId="0" borderId="0" xfId="0" applyNumberFormat="1"/>
    <xf numFmtId="3" fontId="0" fillId="0" borderId="16" xfId="0" applyNumberFormat="1" applyBorder="1"/>
    <xf numFmtId="0" fontId="0" fillId="11" borderId="16" xfId="0" applyFill="1" applyBorder="1" applyProtection="1">
      <protection locked="0"/>
    </xf>
    <xf numFmtId="170" fontId="0" fillId="0" borderId="0" xfId="0" applyNumberFormat="1" applyBorder="1"/>
    <xf numFmtId="170" fontId="2" fillId="0" borderId="15" xfId="0" applyNumberFormat="1" applyFont="1" applyBorder="1"/>
    <xf numFmtId="170" fontId="2" fillId="0" borderId="16" xfId="0" applyNumberFormat="1" applyFont="1" applyBorder="1"/>
    <xf numFmtId="170" fontId="2" fillId="0" borderId="13" xfId="0" applyNumberFormat="1" applyFont="1" applyBorder="1"/>
    <xf numFmtId="166" fontId="0" fillId="0" borderId="0" xfId="0" applyNumberFormat="1"/>
    <xf numFmtId="166" fontId="0" fillId="0" borderId="0" xfId="1" applyNumberFormat="1" applyFont="1"/>
    <xf numFmtId="0" fontId="2" fillId="8" borderId="9" xfId="0" applyFont="1" applyFill="1" applyBorder="1" applyAlignment="1"/>
    <xf numFmtId="0" fontId="2" fillId="8" borderId="39" xfId="0" applyFont="1" applyFill="1" applyBorder="1" applyAlignment="1"/>
    <xf numFmtId="166" fontId="2" fillId="0" borderId="25" xfId="0" applyNumberFormat="1" applyFont="1" applyBorder="1"/>
    <xf numFmtId="166" fontId="0" fillId="0" borderId="8" xfId="1" applyNumberFormat="1" applyFont="1" applyBorder="1"/>
    <xf numFmtId="166" fontId="2" fillId="0" borderId="0" xfId="1" applyNumberFormat="1" applyFont="1" applyBorder="1"/>
    <xf numFmtId="0" fontId="0" fillId="0" borderId="25" xfId="0" applyBorder="1"/>
    <xf numFmtId="0" fontId="2" fillId="8" borderId="12" xfId="0" applyFont="1" applyFill="1" applyBorder="1" applyAlignment="1"/>
    <xf numFmtId="0" fontId="2" fillId="8" borderId="0" xfId="0" applyFont="1" applyFill="1" applyBorder="1" applyAlignment="1"/>
    <xf numFmtId="0" fontId="2" fillId="8" borderId="25" xfId="0" applyFont="1" applyFill="1" applyBorder="1" applyAlignment="1"/>
    <xf numFmtId="0" fontId="0" fillId="0" borderId="12" xfId="0" applyFont="1" applyFill="1" applyBorder="1" applyAlignment="1"/>
    <xf numFmtId="166" fontId="1" fillId="0" borderId="6" xfId="1" applyNumberFormat="1" applyFont="1" applyFill="1" applyBorder="1" applyAlignment="1"/>
    <xf numFmtId="166" fontId="0" fillId="7" borderId="2" xfId="1" applyNumberFormat="1" applyFont="1" applyFill="1" applyBorder="1" applyProtection="1">
      <protection locked="0"/>
    </xf>
    <xf numFmtId="166" fontId="0" fillId="7" borderId="5" xfId="1" applyNumberFormat="1" applyFont="1" applyFill="1" applyBorder="1" applyProtection="1">
      <protection locked="0"/>
    </xf>
    <xf numFmtId="166" fontId="27" fillId="0" borderId="0" xfId="0" applyNumberFormat="1" applyFont="1" applyBorder="1"/>
    <xf numFmtId="0" fontId="28" fillId="0" borderId="12" xfId="0" applyFont="1" applyBorder="1"/>
    <xf numFmtId="166" fontId="1" fillId="7" borderId="2" xfId="1" applyNumberFormat="1" applyFont="1" applyFill="1" applyBorder="1" applyProtection="1">
      <protection locked="0"/>
    </xf>
    <xf numFmtId="166" fontId="1" fillId="7" borderId="5" xfId="1" applyNumberFormat="1" applyFont="1" applyFill="1" applyBorder="1" applyProtection="1">
      <protection locked="0"/>
    </xf>
    <xf numFmtId="0" fontId="0" fillId="0" borderId="35" xfId="0" applyBorder="1"/>
    <xf numFmtId="166" fontId="0" fillId="0" borderId="6" xfId="1" applyNumberFormat="1" applyFont="1" applyBorder="1"/>
    <xf numFmtId="166" fontId="2" fillId="0" borderId="15" xfId="1" applyNumberFormat="1" applyFont="1" applyBorder="1"/>
    <xf numFmtId="166" fontId="2" fillId="0" borderId="16" xfId="1" applyNumberFormat="1" applyFont="1" applyBorder="1"/>
    <xf numFmtId="0" fontId="2" fillId="8" borderId="12" xfId="0" applyFont="1" applyFill="1" applyBorder="1"/>
    <xf numFmtId="164" fontId="0" fillId="8" borderId="0" xfId="0" applyNumberFormat="1" applyFill="1" applyBorder="1" applyProtection="1">
      <protection locked="0"/>
    </xf>
    <xf numFmtId="0" fontId="2" fillId="0" borderId="0" xfId="0" applyFont="1" applyFill="1"/>
    <xf numFmtId="166" fontId="2" fillId="8" borderId="17" xfId="0" applyNumberFormat="1" applyFont="1" applyFill="1" applyBorder="1" applyAlignment="1" applyProtection="1">
      <protection locked="0"/>
    </xf>
    <xf numFmtId="166" fontId="2" fillId="8" borderId="18" xfId="0" applyNumberFormat="1" applyFont="1" applyFill="1" applyBorder="1" applyAlignment="1" applyProtection="1">
      <protection locked="0"/>
    </xf>
    <xf numFmtId="166" fontId="2" fillId="8" borderId="19" xfId="0" applyNumberFormat="1" applyFont="1" applyFill="1" applyBorder="1" applyAlignment="1" applyProtection="1">
      <protection locked="0"/>
    </xf>
    <xf numFmtId="164" fontId="0" fillId="0" borderId="13" xfId="0" applyNumberFormat="1" applyBorder="1"/>
    <xf numFmtId="0" fontId="10" fillId="5" borderId="28" xfId="0" applyFont="1" applyFill="1" applyBorder="1" applyAlignment="1"/>
    <xf numFmtId="9" fontId="0" fillId="0" borderId="13" xfId="2" applyFont="1" applyBorder="1"/>
    <xf numFmtId="9" fontId="0" fillId="0" borderId="15" xfId="2" applyFont="1" applyBorder="1"/>
    <xf numFmtId="9" fontId="0" fillId="0" borderId="16" xfId="2" applyFont="1" applyBorder="1"/>
    <xf numFmtId="3" fontId="2" fillId="0" borderId="0" xfId="0" applyNumberFormat="1" applyFont="1" applyBorder="1"/>
    <xf numFmtId="0" fontId="0" fillId="0" borderId="13" xfId="0" applyFill="1" applyBorder="1"/>
    <xf numFmtId="0" fontId="29" fillId="3" borderId="12" xfId="0" applyFont="1" applyFill="1" applyBorder="1" applyAlignment="1">
      <alignment horizontal="center"/>
    </xf>
    <xf numFmtId="38" fontId="29" fillId="3" borderId="40" xfId="4" applyNumberFormat="1" applyFont="1" applyFill="1" applyBorder="1" applyProtection="1"/>
    <xf numFmtId="3" fontId="30" fillId="3" borderId="0" xfId="0" applyNumberFormat="1" applyFont="1" applyFill="1" applyBorder="1"/>
    <xf numFmtId="9" fontId="30" fillId="3" borderId="0" xfId="2" applyFont="1" applyFill="1" applyBorder="1"/>
    <xf numFmtId="4" fontId="30" fillId="3" borderId="4" xfId="0" applyNumberFormat="1" applyFont="1" applyFill="1" applyBorder="1"/>
    <xf numFmtId="4" fontId="31" fillId="3" borderId="0" xfId="0" applyNumberFormat="1" applyFont="1" applyFill="1" applyBorder="1"/>
    <xf numFmtId="4" fontId="31" fillId="3" borderId="25" xfId="0" applyNumberFormat="1" applyFont="1" applyFill="1" applyBorder="1" applyAlignment="1">
      <alignment horizontal="center"/>
    </xf>
    <xf numFmtId="38" fontId="29" fillId="3" borderId="3" xfId="4" applyNumberFormat="1" applyFont="1" applyFill="1" applyBorder="1" applyProtection="1"/>
    <xf numFmtId="3" fontId="32" fillId="0" borderId="0" xfId="7" applyNumberFormat="1" applyFont="1" applyFill="1" applyBorder="1" applyAlignment="1">
      <alignment horizontal="center"/>
    </xf>
    <xf numFmtId="4" fontId="32" fillId="0" borderId="4" xfId="0" applyNumberFormat="1" applyFont="1" applyFill="1" applyBorder="1" applyAlignment="1" applyProtection="1">
      <alignment horizontal="right"/>
      <protection locked="0"/>
    </xf>
    <xf numFmtId="4" fontId="32" fillId="0" borderId="0" xfId="0" applyNumberFormat="1" applyFont="1" applyFill="1" applyBorder="1" applyAlignment="1" applyProtection="1">
      <alignment horizontal="right"/>
      <protection locked="0"/>
    </xf>
    <xf numFmtId="165" fontId="33" fillId="0" borderId="4" xfId="1" applyFont="1" applyFill="1" applyBorder="1" applyAlignment="1" applyProtection="1">
      <alignment horizontal="right"/>
      <protection locked="0"/>
    </xf>
    <xf numFmtId="4" fontId="32" fillId="0" borderId="41" xfId="0" applyNumberFormat="1" applyFont="1" applyFill="1" applyBorder="1" applyAlignment="1" applyProtection="1">
      <alignment horizontal="right"/>
      <protection locked="0"/>
    </xf>
    <xf numFmtId="4" fontId="32" fillId="0" borderId="8" xfId="0" applyNumberFormat="1" applyFont="1" applyFill="1" applyBorder="1" applyAlignment="1" applyProtection="1">
      <alignment horizontal="right"/>
      <protection locked="0"/>
    </xf>
    <xf numFmtId="165" fontId="33" fillId="0" borderId="41" xfId="1" applyFont="1" applyFill="1" applyBorder="1" applyAlignment="1" applyProtection="1">
      <alignment horizontal="right"/>
      <protection locked="0"/>
    </xf>
    <xf numFmtId="9" fontId="0" fillId="0" borderId="32" xfId="2" applyFont="1" applyFill="1" applyBorder="1" applyAlignment="1">
      <alignment horizontal="center"/>
    </xf>
    <xf numFmtId="0" fontId="34" fillId="0" borderId="12" xfId="0" applyFont="1" applyBorder="1"/>
    <xf numFmtId="166" fontId="34" fillId="0" borderId="0" xfId="1" applyNumberFormat="1" applyFont="1" applyBorder="1"/>
    <xf numFmtId="9" fontId="34" fillId="0" borderId="0" xfId="2" applyFont="1" applyBorder="1"/>
    <xf numFmtId="166" fontId="34" fillId="0" borderId="0" xfId="0" applyNumberFormat="1" applyFont="1" applyBorder="1"/>
    <xf numFmtId="166" fontId="34" fillId="0" borderId="13" xfId="0" applyNumberFormat="1" applyFont="1" applyBorder="1"/>
    <xf numFmtId="0" fontId="35" fillId="0" borderId="23" xfId="0" applyFont="1" applyBorder="1"/>
    <xf numFmtId="166" fontId="35" fillId="0" borderId="8" xfId="0" applyNumberFormat="1" applyFont="1" applyBorder="1"/>
    <xf numFmtId="9" fontId="35" fillId="0" borderId="8" xfId="2" applyFont="1" applyBorder="1"/>
    <xf numFmtId="166" fontId="35" fillId="6" borderId="8" xfId="0" applyNumberFormat="1" applyFont="1" applyFill="1" applyBorder="1"/>
    <xf numFmtId="166" fontId="35" fillId="6" borderId="24" xfId="0" applyNumberFormat="1" applyFont="1" applyFill="1" applyBorder="1"/>
    <xf numFmtId="166" fontId="36" fillId="0" borderId="13" xfId="1" applyNumberFormat="1" applyFont="1" applyBorder="1"/>
    <xf numFmtId="0" fontId="0" fillId="0" borderId="0" xfId="0" applyAlignment="1">
      <alignment wrapText="1"/>
    </xf>
    <xf numFmtId="0" fontId="2" fillId="0" borderId="42" xfId="0" applyFont="1" applyBorder="1"/>
    <xf numFmtId="0" fontId="2" fillId="0" borderId="43" xfId="0" applyFont="1" applyBorder="1"/>
    <xf numFmtId="0" fontId="2" fillId="0" borderId="15" xfId="0" applyFont="1" applyBorder="1"/>
    <xf numFmtId="166" fontId="2" fillId="0" borderId="12" xfId="0" applyNumberFormat="1" applyFont="1" applyFill="1" applyBorder="1" applyAlignment="1" applyProtection="1">
      <alignment horizontal="center"/>
      <protection locked="0"/>
    </xf>
    <xf numFmtId="166" fontId="2" fillId="0" borderId="13" xfId="0" applyNumberFormat="1" applyFon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0" fontId="2" fillId="0" borderId="12" xfId="0" applyFont="1" applyFill="1" applyBorder="1" applyProtection="1"/>
    <xf numFmtId="0" fontId="2" fillId="0" borderId="12" xfId="0" applyFont="1" applyBorder="1" applyProtection="1"/>
    <xf numFmtId="0" fontId="0" fillId="0" borderId="0" xfId="0" applyFill="1" applyBorder="1" applyProtection="1"/>
    <xf numFmtId="166" fontId="0" fillId="0" borderId="7" xfId="1" applyNumberFormat="1" applyFont="1" applyFill="1" applyBorder="1" applyProtection="1">
      <protection locked="0"/>
    </xf>
    <xf numFmtId="0" fontId="0" fillId="0" borderId="42" xfId="0" applyBorder="1"/>
    <xf numFmtId="166" fontId="0" fillId="0" borderId="6" xfId="1" applyNumberFormat="1" applyFont="1" applyFill="1" applyBorder="1" applyProtection="1">
      <protection locked="0"/>
    </xf>
    <xf numFmtId="0" fontId="3" fillId="11" borderId="33" xfId="5" applyFont="1" applyFill="1" applyBorder="1"/>
    <xf numFmtId="166" fontId="3" fillId="11" borderId="0" xfId="1" applyNumberFormat="1" applyFont="1" applyFill="1" applyBorder="1"/>
    <xf numFmtId="166" fontId="3" fillId="11" borderId="33" xfId="1" applyNumberFormat="1" applyFont="1" applyFill="1" applyBorder="1"/>
    <xf numFmtId="171" fontId="0" fillId="8" borderId="2" xfId="1" applyNumberFormat="1" applyFont="1" applyFill="1" applyBorder="1" applyProtection="1"/>
    <xf numFmtId="166" fontId="2" fillId="0" borderId="13" xfId="1" applyNumberFormat="1" applyFont="1" applyBorder="1"/>
    <xf numFmtId="166" fontId="2" fillId="0" borderId="13" xfId="1" applyNumberFormat="1" applyFont="1" applyBorder="1" applyAlignment="1">
      <alignment horizontal="right"/>
    </xf>
    <xf numFmtId="166" fontId="2" fillId="0" borderId="33" xfId="0" applyNumberFormat="1" applyFont="1" applyFill="1" applyBorder="1" applyAlignment="1" applyProtection="1">
      <alignment wrapText="1"/>
      <protection locked="0"/>
    </xf>
    <xf numFmtId="168" fontId="37" fillId="0" borderId="0" xfId="0" applyNumberFormat="1" applyFont="1"/>
    <xf numFmtId="164" fontId="0" fillId="0" borderId="0" xfId="0" applyNumberFormat="1"/>
    <xf numFmtId="3" fontId="0" fillId="0" borderId="0" xfId="0" applyNumberFormat="1" applyBorder="1" applyAlignment="1">
      <alignment horizontal="right"/>
    </xf>
    <xf numFmtId="0" fontId="38" fillId="0" borderId="0" xfId="0" applyFont="1"/>
    <xf numFmtId="164" fontId="0" fillId="13" borderId="2" xfId="0" applyNumberFormat="1" applyFill="1" applyBorder="1" applyProtection="1">
      <protection locked="0"/>
    </xf>
    <xf numFmtId="164" fontId="0" fillId="13" borderId="2" xfId="0" applyNumberFormat="1" applyFill="1" applyBorder="1" applyProtection="1"/>
    <xf numFmtId="0" fontId="0" fillId="0" borderId="12" xfId="0" applyFill="1" applyBorder="1" applyProtection="1"/>
    <xf numFmtId="164" fontId="0" fillId="0" borderId="0" xfId="0" applyNumberFormat="1" applyFill="1" applyBorder="1" applyProtection="1">
      <protection locked="0"/>
    </xf>
    <xf numFmtId="0" fontId="36" fillId="0" borderId="12" xfId="0" applyFont="1" applyBorder="1"/>
    <xf numFmtId="3" fontId="0" fillId="0" borderId="15" xfId="0" applyNumberFormat="1" applyBorder="1" applyAlignment="1">
      <alignment horizontal="left"/>
    </xf>
    <xf numFmtId="169" fontId="0" fillId="0" borderId="0" xfId="1" applyNumberFormat="1" applyFont="1" applyFill="1" applyBorder="1"/>
    <xf numFmtId="169" fontId="0" fillId="0" borderId="13" xfId="1" applyNumberFormat="1" applyFont="1" applyFill="1" applyBorder="1"/>
    <xf numFmtId="172" fontId="0" fillId="7" borderId="13" xfId="0" applyNumberFormat="1" applyFill="1" applyBorder="1"/>
    <xf numFmtId="172" fontId="0" fillId="7" borderId="16" xfId="0" applyNumberFormat="1" applyFill="1" applyBorder="1"/>
    <xf numFmtId="0" fontId="0" fillId="0" borderId="44" xfId="0" applyBorder="1"/>
    <xf numFmtId="0" fontId="0" fillId="0" borderId="46" xfId="0" applyBorder="1"/>
    <xf numFmtId="0" fontId="0" fillId="0" borderId="47" xfId="0" applyBorder="1"/>
    <xf numFmtId="0" fontId="12" fillId="0" borderId="0" xfId="0" applyFont="1" applyBorder="1" applyAlignment="1"/>
    <xf numFmtId="0" fontId="0" fillId="7" borderId="13" xfId="0" applyFill="1" applyBorder="1" applyAlignment="1" applyProtection="1">
      <alignment horizontal="left"/>
      <protection locked="0"/>
    </xf>
    <xf numFmtId="166" fontId="0" fillId="7" borderId="2" xfId="0" applyNumberFormat="1" applyFill="1" applyBorder="1" applyAlignment="1" applyProtection="1">
      <alignment horizontal="center"/>
      <protection locked="0"/>
    </xf>
    <xf numFmtId="0" fontId="16" fillId="11" borderId="0" xfId="0" applyFont="1" applyFill="1" applyAlignment="1">
      <alignment horizontal="left"/>
    </xf>
    <xf numFmtId="0" fontId="16" fillId="0" borderId="0" xfId="0" applyFont="1" applyFill="1"/>
    <xf numFmtId="0" fontId="16" fillId="7" borderId="0" xfId="0" applyFont="1" applyFill="1"/>
    <xf numFmtId="0" fontId="16" fillId="7" borderId="0" xfId="0" applyFont="1" applyFill="1" applyAlignment="1">
      <alignment horizontal="center"/>
    </xf>
    <xf numFmtId="164" fontId="0" fillId="0" borderId="0" xfId="0" applyNumberFormat="1" applyFill="1" applyBorder="1"/>
    <xf numFmtId="166" fontId="36" fillId="8" borderId="18" xfId="0" applyNumberFormat="1" applyFont="1" applyFill="1" applyBorder="1" applyAlignment="1" applyProtection="1">
      <protection locked="0"/>
    </xf>
    <xf numFmtId="0" fontId="2" fillId="0" borderId="0" xfId="0" applyFont="1" applyFill="1" applyBorder="1" applyAlignment="1"/>
    <xf numFmtId="0" fontId="2" fillId="8" borderId="39" xfId="0" applyFont="1" applyFill="1" applyBorder="1" applyAlignment="1">
      <alignment horizontal="center"/>
    </xf>
    <xf numFmtId="166" fontId="2" fillId="0" borderId="51" xfId="0" applyNumberFormat="1" applyFont="1" applyBorder="1"/>
    <xf numFmtId="166" fontId="2" fillId="0" borderId="38" xfId="0" applyNumberFormat="1" applyFont="1" applyBorder="1"/>
    <xf numFmtId="166" fontId="0" fillId="8" borderId="0" xfId="1" applyNumberFormat="1" applyFont="1" applyFill="1" applyBorder="1" applyAlignment="1">
      <alignment wrapText="1"/>
    </xf>
    <xf numFmtId="166" fontId="2" fillId="0" borderId="43" xfId="1" applyNumberFormat="1" applyFont="1" applyBorder="1"/>
    <xf numFmtId="0" fontId="3" fillId="7" borderId="52" xfId="0" applyFont="1" applyFill="1" applyBorder="1" applyAlignment="1">
      <alignment horizontal="center" wrapText="1"/>
    </xf>
    <xf numFmtId="0" fontId="10" fillId="5" borderId="28" xfId="0" applyFont="1" applyFill="1" applyBorder="1" applyAlignment="1">
      <alignment horizontal="center"/>
    </xf>
    <xf numFmtId="0" fontId="10" fillId="5" borderId="10" xfId="0" applyFont="1" applyFill="1" applyBorder="1" applyAlignment="1">
      <alignment horizontal="center" wrapText="1"/>
    </xf>
    <xf numFmtId="0" fontId="0" fillId="0" borderId="8" xfId="0" applyBorder="1" applyAlignment="1">
      <alignment horizontal="right"/>
    </xf>
    <xf numFmtId="0" fontId="0" fillId="0" borderId="0" xfId="0" applyAlignment="1">
      <alignment horizontal="right"/>
    </xf>
    <xf numFmtId="3" fontId="0" fillId="0" borderId="0" xfId="0" applyNumberFormat="1" applyAlignment="1">
      <alignment horizontal="right"/>
    </xf>
    <xf numFmtId="3" fontId="0" fillId="0" borderId="8" xfId="0" applyNumberFormat="1" applyBorder="1" applyAlignment="1">
      <alignment horizontal="right"/>
    </xf>
    <xf numFmtId="0" fontId="0" fillId="0" borderId="6" xfId="0" applyBorder="1" applyAlignment="1">
      <alignment horizontal="right"/>
    </xf>
    <xf numFmtId="3" fontId="0" fillId="0" borderId="6" xfId="0" applyNumberFormat="1" applyBorder="1" applyAlignment="1">
      <alignment horizontal="right"/>
    </xf>
    <xf numFmtId="0" fontId="43" fillId="0" borderId="0" xfId="0" applyFont="1" applyFill="1" applyBorder="1"/>
    <xf numFmtId="173" fontId="43" fillId="0" borderId="0" xfId="0" applyNumberFormat="1" applyFont="1" applyFill="1" applyBorder="1"/>
    <xf numFmtId="0" fontId="42" fillId="0" borderId="0" xfId="0" applyFont="1" applyFill="1" applyBorder="1"/>
    <xf numFmtId="0" fontId="43" fillId="0" borderId="0" xfId="0" applyFont="1" applyFill="1" applyBorder="1" applyAlignment="1">
      <alignment horizontal="right"/>
    </xf>
    <xf numFmtId="10" fontId="43" fillId="0" borderId="0" xfId="0" applyNumberFormat="1" applyFont="1" applyFill="1" applyBorder="1"/>
    <xf numFmtId="9" fontId="43" fillId="0" borderId="0" xfId="0" applyNumberFormat="1" applyFont="1" applyFill="1" applyBorder="1"/>
    <xf numFmtId="1" fontId="45" fillId="0" borderId="8" xfId="0" applyNumberFormat="1" applyFont="1" applyBorder="1"/>
    <xf numFmtId="0" fontId="44" fillId="0" borderId="11" xfId="0" applyFont="1" applyBorder="1"/>
    <xf numFmtId="0" fontId="45" fillId="0" borderId="9" xfId="0" applyFont="1" applyBorder="1"/>
    <xf numFmtId="166" fontId="45" fillId="0" borderId="9" xfId="0" applyNumberFormat="1" applyFont="1" applyBorder="1"/>
    <xf numFmtId="0" fontId="45" fillId="0" borderId="1" xfId="0" applyFont="1" applyBorder="1"/>
    <xf numFmtId="0" fontId="45" fillId="0" borderId="12" xfId="0" applyFont="1" applyBorder="1"/>
    <xf numFmtId="1" fontId="45" fillId="0" borderId="0" xfId="0" applyNumberFormat="1" applyFont="1" applyBorder="1"/>
    <xf numFmtId="1" fontId="45" fillId="0" borderId="13" xfId="0" applyNumberFormat="1" applyFont="1" applyBorder="1"/>
    <xf numFmtId="0" fontId="45" fillId="0" borderId="23" xfId="0" applyFont="1" applyBorder="1"/>
    <xf numFmtId="1" fontId="45" fillId="0" borderId="24" xfId="0" applyNumberFormat="1" applyFont="1" applyBorder="1"/>
    <xf numFmtId="0" fontId="45" fillId="0" borderId="14" xfId="0" applyFont="1" applyBorder="1"/>
    <xf numFmtId="1" fontId="45" fillId="0" borderId="15" xfId="0" applyNumberFormat="1" applyFont="1" applyBorder="1"/>
    <xf numFmtId="1" fontId="45" fillId="0" borderId="16" xfId="0" applyNumberFormat="1" applyFont="1" applyBorder="1"/>
    <xf numFmtId="0" fontId="2" fillId="0" borderId="17" xfId="0" applyFont="1" applyBorder="1" applyAlignment="1">
      <alignment horizontal="center"/>
    </xf>
    <xf numFmtId="0" fontId="2" fillId="0" borderId="18" xfId="0" applyFont="1" applyBorder="1" applyAlignment="1">
      <alignment horizontal="center"/>
    </xf>
    <xf numFmtId="166" fontId="2" fillId="8" borderId="11" xfId="0" applyNumberFormat="1" applyFont="1" applyFill="1" applyBorder="1" applyAlignment="1" applyProtection="1">
      <alignment horizontal="center"/>
      <protection locked="0"/>
    </xf>
    <xf numFmtId="166" fontId="2" fillId="8" borderId="9" xfId="0" applyNumberFormat="1" applyFont="1" applyFill="1" applyBorder="1" applyAlignment="1" applyProtection="1">
      <alignment horizontal="center"/>
      <protection locked="0"/>
    </xf>
    <xf numFmtId="166" fontId="2" fillId="8" borderId="1"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wrapText="1"/>
      <protection locked="0"/>
    </xf>
    <xf numFmtId="166" fontId="2" fillId="0" borderId="7" xfId="0" applyNumberFormat="1" applyFont="1" applyFill="1" applyBorder="1" applyAlignment="1" applyProtection="1">
      <alignment horizontal="center" wrapText="1"/>
      <protection locked="0"/>
    </xf>
    <xf numFmtId="167" fontId="2" fillId="0" borderId="5" xfId="0" applyNumberFormat="1" applyFont="1" applyFill="1" applyBorder="1" applyAlignment="1" applyProtection="1">
      <alignment horizontal="center" wrapText="1"/>
    </xf>
    <xf numFmtId="167" fontId="2" fillId="0" borderId="7" xfId="0" applyNumberFormat="1" applyFont="1" applyFill="1" applyBorder="1" applyAlignment="1" applyProtection="1">
      <alignment horizontal="center" wrapText="1"/>
    </xf>
    <xf numFmtId="0" fontId="2" fillId="0" borderId="2" xfId="0" applyFont="1" applyBorder="1" applyAlignment="1">
      <alignment horizontal="center"/>
    </xf>
    <xf numFmtId="166" fontId="2" fillId="8" borderId="17" xfId="0" applyNumberFormat="1" applyFont="1" applyFill="1" applyBorder="1" applyAlignment="1" applyProtection="1">
      <alignment horizontal="center"/>
      <protection locked="0"/>
    </xf>
    <xf numFmtId="166" fontId="2" fillId="8" borderId="18" xfId="0" applyNumberFormat="1" applyFont="1" applyFill="1" applyBorder="1" applyAlignment="1" applyProtection="1">
      <alignment horizontal="center"/>
      <protection locked="0"/>
    </xf>
    <xf numFmtId="166" fontId="2" fillId="8" borderId="19"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166" fontId="2" fillId="0" borderId="7" xfId="0" applyNumberFormat="1" applyFont="1" applyFill="1" applyBorder="1" applyAlignment="1" applyProtection="1">
      <alignment horizontal="left" wrapText="1"/>
      <protection locked="0"/>
    </xf>
    <xf numFmtId="0" fontId="42" fillId="0" borderId="0" xfId="0" applyFont="1" applyFill="1" applyBorder="1" applyAlignment="1">
      <alignment horizontal="center"/>
    </xf>
    <xf numFmtId="166" fontId="2" fillId="7" borderId="17" xfId="0" applyNumberFormat="1" applyFont="1" applyFill="1" applyBorder="1" applyAlignment="1" applyProtection="1">
      <alignment horizontal="center"/>
      <protection locked="0"/>
    </xf>
    <xf numFmtId="166" fontId="2" fillId="7" borderId="18" xfId="0" applyNumberFormat="1" applyFont="1" applyFill="1" applyBorder="1" applyAlignment="1" applyProtection="1">
      <alignment horizontal="center"/>
      <protection locked="0"/>
    </xf>
    <xf numFmtId="166" fontId="2" fillId="7" borderId="19" xfId="0" applyNumberFormat="1" applyFont="1" applyFill="1" applyBorder="1" applyAlignment="1" applyProtection="1">
      <alignment horizontal="center"/>
      <protection locked="0"/>
    </xf>
    <xf numFmtId="166" fontId="2" fillId="12" borderId="17" xfId="0" applyNumberFormat="1" applyFont="1" applyFill="1" applyBorder="1" applyAlignment="1" applyProtection="1">
      <alignment horizontal="center"/>
      <protection locked="0"/>
    </xf>
    <xf numFmtId="166" fontId="2" fillId="12" borderId="18" xfId="0" applyNumberFormat="1" applyFont="1" applyFill="1" applyBorder="1" applyAlignment="1" applyProtection="1">
      <alignment horizontal="center"/>
      <protection locked="0"/>
    </xf>
    <xf numFmtId="166" fontId="2" fillId="12" borderId="19" xfId="0" applyNumberFormat="1" applyFont="1" applyFill="1" applyBorder="1" applyAlignment="1" applyProtection="1">
      <alignment horizontal="center"/>
      <protection locked="0"/>
    </xf>
    <xf numFmtId="166" fontId="2" fillId="12" borderId="11" xfId="0" applyNumberFormat="1" applyFont="1" applyFill="1" applyBorder="1" applyAlignment="1" applyProtection="1">
      <alignment horizontal="center"/>
      <protection locked="0"/>
    </xf>
    <xf numFmtId="166" fontId="2" fillId="12" borderId="9" xfId="0" applyNumberFormat="1" applyFont="1" applyFill="1" applyBorder="1" applyAlignment="1" applyProtection="1">
      <alignment horizontal="center"/>
      <protection locked="0"/>
    </xf>
    <xf numFmtId="166" fontId="2" fillId="12" borderId="1" xfId="0" applyNumberFormat="1" applyFont="1" applyFill="1" applyBorder="1" applyAlignment="1" applyProtection="1">
      <alignment horizontal="center"/>
      <protection locked="0"/>
    </xf>
    <xf numFmtId="0" fontId="12" fillId="0" borderId="0" xfId="0" applyFont="1" applyBorder="1" applyAlignment="1">
      <alignment horizontal="left"/>
    </xf>
    <xf numFmtId="0" fontId="11" fillId="0" borderId="45" xfId="0" applyFont="1" applyBorder="1" applyAlignment="1">
      <alignment horizontal="left"/>
    </xf>
    <xf numFmtId="0" fontId="39" fillId="0" borderId="45" xfId="0" applyFont="1" applyFill="1" applyBorder="1" applyAlignment="1" applyProtection="1">
      <alignment horizontal="left"/>
      <protection locked="0"/>
    </xf>
    <xf numFmtId="0" fontId="39" fillId="0" borderId="0" xfId="0" applyFont="1" applyFill="1" applyBorder="1" applyAlignment="1" applyProtection="1">
      <alignment horizontal="left"/>
      <protection locked="0"/>
    </xf>
    <xf numFmtId="14" fontId="39" fillId="0" borderId="0" xfId="0" applyNumberFormat="1" applyFont="1" applyFill="1" applyBorder="1" applyAlignment="1" applyProtection="1">
      <alignment horizontal="left"/>
      <protection locked="0"/>
    </xf>
    <xf numFmtId="14" fontId="39" fillId="0" borderId="47" xfId="0" applyNumberFormat="1" applyFont="1" applyFill="1" applyBorder="1" applyAlignment="1" applyProtection="1">
      <alignment horizontal="left"/>
      <protection locked="0"/>
    </xf>
    <xf numFmtId="0" fontId="39" fillId="0" borderId="44" xfId="0" applyFont="1" applyFill="1" applyBorder="1" applyAlignment="1" applyProtection="1">
      <alignment horizontal="left"/>
      <protection locked="0"/>
    </xf>
    <xf numFmtId="0" fontId="39" fillId="0" borderId="48" xfId="0" applyFont="1" applyFill="1" applyBorder="1" applyAlignment="1" applyProtection="1">
      <alignment horizontal="left"/>
      <protection locked="0"/>
    </xf>
    <xf numFmtId="0" fontId="12" fillId="0" borderId="49" xfId="0" applyFont="1" applyBorder="1" applyAlignment="1">
      <alignment horizontal="left"/>
    </xf>
    <xf numFmtId="0" fontId="12" fillId="0" borderId="45" xfId="0" applyFont="1" applyBorder="1" applyAlignment="1">
      <alignment horizontal="left"/>
    </xf>
    <xf numFmtId="0" fontId="12" fillId="0" borderId="46" xfId="0" applyFont="1" applyBorder="1" applyAlignment="1">
      <alignment horizontal="left"/>
    </xf>
    <xf numFmtId="0" fontId="12" fillId="0" borderId="50" xfId="0" applyFont="1" applyBorder="1" applyAlignment="1">
      <alignment horizontal="left"/>
    </xf>
    <xf numFmtId="0" fontId="12" fillId="0" borderId="44" xfId="0" applyFont="1" applyBorder="1" applyAlignment="1">
      <alignment horizontal="left"/>
    </xf>
    <xf numFmtId="0" fontId="3" fillId="0" borderId="11" xfId="0" applyFont="1" applyBorder="1" applyAlignment="1">
      <alignment horizontal="center" wrapText="1"/>
    </xf>
    <xf numFmtId="0" fontId="3" fillId="0" borderId="9" xfId="0" applyFont="1" applyBorder="1" applyAlignment="1">
      <alignment horizontal="center" wrapText="1"/>
    </xf>
    <xf numFmtId="0" fontId="2" fillId="11" borderId="11" xfId="0" applyFont="1" applyFill="1" applyBorder="1" applyAlignment="1">
      <alignment horizontal="center"/>
    </xf>
    <xf numFmtId="0" fontId="2" fillId="11" borderId="1" xfId="0" applyFont="1" applyFill="1" applyBorder="1" applyAlignment="1">
      <alignment horizontal="center"/>
    </xf>
    <xf numFmtId="0" fontId="2" fillId="11" borderId="9" xfId="0" applyFont="1" applyFill="1" applyBorder="1" applyAlignment="1">
      <alignment horizontal="center"/>
    </xf>
    <xf numFmtId="0" fontId="10" fillId="5" borderId="10" xfId="0" applyFont="1" applyFill="1" applyBorder="1" applyAlignment="1">
      <alignment horizontal="center"/>
    </xf>
    <xf numFmtId="0" fontId="2" fillId="0" borderId="28" xfId="0" applyFont="1" applyBorder="1" applyAlignment="1">
      <alignment horizontal="center"/>
    </xf>
    <xf numFmtId="0" fontId="2" fillId="0" borderId="10" xfId="0" applyFont="1" applyBorder="1" applyAlignment="1">
      <alignment horizontal="center"/>
    </xf>
    <xf numFmtId="0" fontId="2" fillId="0" borderId="29" xfId="0" applyFont="1" applyBorder="1" applyAlignment="1">
      <alignment horizontal="center"/>
    </xf>
    <xf numFmtId="0" fontId="10" fillId="5" borderId="29" xfId="0" applyFont="1" applyFill="1" applyBorder="1" applyAlignment="1">
      <alignment horizontal="center"/>
    </xf>
  </cellXfs>
  <cellStyles count="8">
    <cellStyle name="Hyperkobling" xfId="6" builtinId="8"/>
    <cellStyle name="Komma" xfId="1" builtinId="3"/>
    <cellStyle name="Normal" xfId="0" builtinId="0"/>
    <cellStyle name="Normal 2" xfId="3"/>
    <cellStyle name="Normal 2 2" xfId="7"/>
    <cellStyle name="Normal 3" xfId="5"/>
    <cellStyle name="Normal_Lønnstabell_Lønnstabell" xfId="4"/>
    <cellStyle name="Prosent" xfId="2" builtinId="5"/>
  </cellStyles>
  <dxfs count="5">
    <dxf>
      <font>
        <b/>
        <i/>
        <strike val="0"/>
        <color rgb="FFFF0000"/>
      </font>
    </dxf>
    <dxf>
      <font>
        <color theme="0"/>
      </font>
      <fill>
        <patternFill patternType="none">
          <bgColor auto="1"/>
        </patternFill>
      </fill>
    </dxf>
    <dxf>
      <font>
        <b val="0"/>
        <i/>
        <color rgb="FFFF0000"/>
      </font>
      <fill>
        <patternFill>
          <bgColor theme="0" tint="-0.14996795556505021"/>
        </patternFill>
      </fill>
    </dxf>
    <dxf>
      <font>
        <color theme="0"/>
      </font>
      <fill>
        <patternFill patternType="none">
          <bgColor auto="1"/>
        </patternFill>
      </fill>
    </dxf>
    <dxf>
      <font>
        <color theme="0"/>
      </font>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Kostnadsfordeling</a:t>
            </a:r>
          </a:p>
        </c:rich>
      </c:tx>
      <c:overlay val="0"/>
    </c:title>
    <c:autoTitleDeleted val="0"/>
    <c:plotArea>
      <c:layout/>
      <c:pieChart>
        <c:varyColors val="1"/>
        <c:ser>
          <c:idx val="0"/>
          <c:order val="0"/>
          <c:dLbls>
            <c:dLbl>
              <c:idx val="1"/>
              <c:layout>
                <c:manualLayout>
                  <c:x val="-3.3021325459317588E-2"/>
                  <c:y val="0.1546762777101841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410-4CAD-BC54-3A48E802F5B7}"/>
                </c:ext>
              </c:extLst>
            </c:dLbl>
            <c:dLbl>
              <c:idx val="2"/>
              <c:layout>
                <c:manualLayout>
                  <c:x val="-1.216732283464567E-2"/>
                  <c:y val="-5.786980709044022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410-4CAD-BC54-3A48E802F5B7}"/>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'5. Oppsummering Budsjett'!$A$15:$A$21</c:f>
              <c:strCache>
                <c:ptCount val="7"/>
                <c:pt idx="0">
                  <c:v>Direkte personalkostnader - rammelønnede</c:v>
                </c:pt>
                <c:pt idx="1">
                  <c:v>Direkte personalkostnader - prosjektlønnede</c:v>
                </c:pt>
                <c:pt idx="2">
                  <c:v>Indirekte personalkostnader</c:v>
                </c:pt>
                <c:pt idx="3">
                  <c:v>Leiestedskostnader</c:v>
                </c:pt>
                <c:pt idx="4">
                  <c:v>Investeringer</c:v>
                </c:pt>
                <c:pt idx="5">
                  <c:v>Reisekostnader</c:v>
                </c:pt>
                <c:pt idx="6">
                  <c:v>Andre driftskostnader</c:v>
                </c:pt>
              </c:strCache>
            </c:strRef>
          </c:cat>
          <c:val>
            <c:numRef>
              <c:f>'5. Oppsummering Budsjett'!$N$15:$N$21</c:f>
              <c:numCache>
                <c:formatCode>_ * #\ ##0_ ;_ * \-#\ ##0_ ;_ * "-"_ ;_ @_ </c:formatCode>
                <c:ptCount val="7"/>
                <c:pt idx="0">
                  <c:v>1333398.6707149181</c:v>
                </c:pt>
                <c:pt idx="1">
                  <c:v>5393359.4342790348</c:v>
                </c:pt>
                <c:pt idx="2">
                  <c:v>4280707.3297074046</c:v>
                </c:pt>
                <c:pt idx="3">
                  <c:v>1010269.2382812499</c:v>
                </c:pt>
                <c:pt idx="4">
                  <c:v>125000</c:v>
                </c:pt>
                <c:pt idx="5">
                  <c:v>604477.77929687488</c:v>
                </c:pt>
                <c:pt idx="6">
                  <c:v>262816.42578124994</c:v>
                </c:pt>
              </c:numCache>
            </c:numRef>
          </c:val>
          <c:extLst>
            <c:ext xmlns:c16="http://schemas.microsoft.com/office/drawing/2014/chart" uri="{C3380CC4-5D6E-409C-BE32-E72D297353CC}">
              <c16:uniqueId val="{00000002-0410-4CAD-BC54-3A48E802F5B7}"/>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sz="1800" b="0" i="0" baseline="0">
                <a:effectLst/>
              </a:rPr>
              <a:t>Forventet finansiering pr. kilde</a:t>
            </a:r>
            <a:endParaRPr lang="nb-NO">
              <a:effectLst/>
            </a:endParaRP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('5. Oppsummering Budsjett'!$A$30,'5. Oppsummering Budsjett'!$A$32,'5. Oppsummering Budsjett'!$A$33)</c:f>
              <c:strCache>
                <c:ptCount val="3"/>
                <c:pt idx="0">
                  <c:v>Sum Ekstern finansiering</c:v>
                </c:pt>
                <c:pt idx="1">
                  <c:v>Sentral NTNU-finansiering (RSO osv)</c:v>
                </c:pt>
                <c:pt idx="2">
                  <c:v>Instituttets egenfinansiering </c:v>
                </c:pt>
              </c:strCache>
            </c:strRef>
          </c:cat>
          <c:val>
            <c:numRef>
              <c:f>('5. Oppsummering Budsjett'!$N$30,'5. Oppsummering Budsjett'!$N$32,'5. Oppsummering Budsjett'!$N$33)</c:f>
              <c:numCache>
                <c:formatCode>_ * #\ ##0_ ;_ * \-#\ ##0_ ;_ * "-"_ ;_ @_ </c:formatCode>
                <c:ptCount val="3"/>
                <c:pt idx="0">
                  <c:v>10000000</c:v>
                </c:pt>
                <c:pt idx="1">
                  <c:v>500000</c:v>
                </c:pt>
                <c:pt idx="2">
                  <c:v>2510028.8780607325</c:v>
                </c:pt>
              </c:numCache>
            </c:numRef>
          </c:val>
          <c:extLst>
            <c:ext xmlns:c16="http://schemas.microsoft.com/office/drawing/2014/chart" uri="{C3380CC4-5D6E-409C-BE32-E72D297353CC}">
              <c16:uniqueId val="{00000000-90C1-43E4-BBB1-2C298A086554}"/>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923925</xdr:colOff>
      <xdr:row>54</xdr:row>
      <xdr:rowOff>19049</xdr:rowOff>
    </xdr:from>
    <xdr:to>
      <xdr:col>4</xdr:col>
      <xdr:colOff>247650</xdr:colOff>
      <xdr:row>71</xdr:row>
      <xdr:rowOff>76200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914400</xdr:colOff>
      <xdr:row>71</xdr:row>
      <xdr:rowOff>95250</xdr:rowOff>
    </xdr:from>
    <xdr:to>
      <xdr:col>4</xdr:col>
      <xdr:colOff>247651</xdr:colOff>
      <xdr:row>88</xdr:row>
      <xdr:rowOff>152399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ontakt@okavd.ntnu.no?subject=Budsjettmal%20NFR-bidragsprosjekt"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0"/>
  <sheetViews>
    <sheetView workbookViewId="0">
      <selection activeCell="A81" sqref="A81"/>
    </sheetView>
  </sheetViews>
  <sheetFormatPr baseColWidth="10" defaultColWidth="11.42578125" defaultRowHeight="15" outlineLevelRow="1" x14ac:dyDescent="0.25"/>
  <cols>
    <col min="1" max="1" width="11.42578125" customWidth="1"/>
  </cols>
  <sheetData>
    <row r="1" spans="1:6" ht="18.75" x14ac:dyDescent="0.3">
      <c r="A1" s="147" t="s">
        <v>323</v>
      </c>
    </row>
    <row r="2" spans="1:6" x14ac:dyDescent="0.25">
      <c r="A2" t="s">
        <v>403</v>
      </c>
    </row>
    <row r="3" spans="1:6" x14ac:dyDescent="0.25">
      <c r="A3" t="s">
        <v>307</v>
      </c>
    </row>
    <row r="4" spans="1:6" x14ac:dyDescent="0.25">
      <c r="A4" s="148" t="s">
        <v>324</v>
      </c>
    </row>
    <row r="5" spans="1:6" x14ac:dyDescent="0.25">
      <c r="A5" t="s">
        <v>325</v>
      </c>
    </row>
    <row r="6" spans="1:6" x14ac:dyDescent="0.25">
      <c r="A6" t="s">
        <v>308</v>
      </c>
    </row>
    <row r="7" spans="1:6" x14ac:dyDescent="0.25">
      <c r="A7" t="s">
        <v>339</v>
      </c>
    </row>
    <row r="8" spans="1:6" x14ac:dyDescent="0.25">
      <c r="A8" t="s">
        <v>309</v>
      </c>
      <c r="F8" s="149" t="s">
        <v>419</v>
      </c>
    </row>
    <row r="10" spans="1:6" ht="18.75" x14ac:dyDescent="0.3">
      <c r="A10" s="147" t="s">
        <v>310</v>
      </c>
    </row>
    <row r="11" spans="1:6" outlineLevel="1" x14ac:dyDescent="0.25">
      <c r="A11" s="148" t="s">
        <v>311</v>
      </c>
    </row>
    <row r="12" spans="1:6" outlineLevel="1" x14ac:dyDescent="0.25">
      <c r="A12" t="s">
        <v>397</v>
      </c>
    </row>
    <row r="13" spans="1:6" outlineLevel="1" x14ac:dyDescent="0.25"/>
    <row r="14" spans="1:6" ht="18.75" outlineLevel="1" x14ac:dyDescent="0.3">
      <c r="A14" s="147" t="s">
        <v>312</v>
      </c>
    </row>
    <row r="15" spans="1:6" outlineLevel="1" x14ac:dyDescent="0.25">
      <c r="A15" s="150"/>
    </row>
    <row r="16" spans="1:6" outlineLevel="1" x14ac:dyDescent="0.25">
      <c r="A16" s="150" t="s">
        <v>333</v>
      </c>
    </row>
    <row r="17" spans="1:1" outlineLevel="1" x14ac:dyDescent="0.25">
      <c r="A17" s="151" t="s">
        <v>334</v>
      </c>
    </row>
    <row r="18" spans="1:1" outlineLevel="1" x14ac:dyDescent="0.25">
      <c r="A18" s="151" t="s">
        <v>335</v>
      </c>
    </row>
    <row r="19" spans="1:1" outlineLevel="1" x14ac:dyDescent="0.25">
      <c r="A19" s="150"/>
    </row>
    <row r="20" spans="1:1" outlineLevel="1" x14ac:dyDescent="0.25">
      <c r="A20" s="150" t="s">
        <v>326</v>
      </c>
    </row>
    <row r="21" spans="1:1" outlineLevel="1" x14ac:dyDescent="0.25">
      <c r="A21" t="s">
        <v>327</v>
      </c>
    </row>
    <row r="22" spans="1:1" outlineLevel="1" x14ac:dyDescent="0.25">
      <c r="A22" t="s">
        <v>329</v>
      </c>
    </row>
    <row r="23" spans="1:1" outlineLevel="1" x14ac:dyDescent="0.25">
      <c r="A23" t="s">
        <v>404</v>
      </c>
    </row>
    <row r="24" spans="1:1" outlineLevel="1" x14ac:dyDescent="0.25">
      <c r="A24" t="s">
        <v>330</v>
      </c>
    </row>
    <row r="25" spans="1:1" outlineLevel="1" x14ac:dyDescent="0.25">
      <c r="A25" t="s">
        <v>460</v>
      </c>
    </row>
    <row r="26" spans="1:1" outlineLevel="1" x14ac:dyDescent="0.25">
      <c r="A26" t="s">
        <v>461</v>
      </c>
    </row>
    <row r="27" spans="1:1" outlineLevel="1" x14ac:dyDescent="0.25">
      <c r="A27" t="s">
        <v>462</v>
      </c>
    </row>
    <row r="28" spans="1:1" outlineLevel="1" x14ac:dyDescent="0.25">
      <c r="A28" t="s">
        <v>463</v>
      </c>
    </row>
    <row r="29" spans="1:1" outlineLevel="1" x14ac:dyDescent="0.25">
      <c r="A29" s="154" t="s">
        <v>331</v>
      </c>
    </row>
    <row r="30" spans="1:1" outlineLevel="1" x14ac:dyDescent="0.25">
      <c r="A30" s="154" t="s">
        <v>332</v>
      </c>
    </row>
    <row r="31" spans="1:1" outlineLevel="1" x14ac:dyDescent="0.25"/>
    <row r="32" spans="1:1" outlineLevel="1" x14ac:dyDescent="0.25">
      <c r="A32" s="150" t="s">
        <v>336</v>
      </c>
    </row>
    <row r="33" spans="1:1" outlineLevel="1" x14ac:dyDescent="0.25">
      <c r="A33" t="s">
        <v>337</v>
      </c>
    </row>
    <row r="34" spans="1:1" outlineLevel="1" x14ac:dyDescent="0.25">
      <c r="A34" t="s">
        <v>329</v>
      </c>
    </row>
    <row r="35" spans="1:1" outlineLevel="1" x14ac:dyDescent="0.25">
      <c r="A35" t="s">
        <v>328</v>
      </c>
    </row>
    <row r="36" spans="1:1" outlineLevel="1" x14ac:dyDescent="0.25">
      <c r="A36" t="s">
        <v>405</v>
      </c>
    </row>
    <row r="37" spans="1:1" outlineLevel="1" x14ac:dyDescent="0.25">
      <c r="A37" t="s">
        <v>464</v>
      </c>
    </row>
    <row r="38" spans="1:1" outlineLevel="1" x14ac:dyDescent="0.25">
      <c r="A38" t="s">
        <v>364</v>
      </c>
    </row>
    <row r="39" spans="1:1" outlineLevel="1" x14ac:dyDescent="0.25">
      <c r="A39" t="s">
        <v>465</v>
      </c>
    </row>
    <row r="40" spans="1:1" outlineLevel="1" x14ac:dyDescent="0.25"/>
    <row r="41" spans="1:1" outlineLevel="1" x14ac:dyDescent="0.25">
      <c r="A41" s="150" t="s">
        <v>340</v>
      </c>
    </row>
    <row r="42" spans="1:1" outlineLevel="1" x14ac:dyDescent="0.25">
      <c r="A42" t="s">
        <v>341</v>
      </c>
    </row>
    <row r="43" spans="1:1" outlineLevel="1" x14ac:dyDescent="0.25">
      <c r="A43" t="s">
        <v>448</v>
      </c>
    </row>
    <row r="44" spans="1:1" outlineLevel="1" x14ac:dyDescent="0.25">
      <c r="A44" t="s">
        <v>342</v>
      </c>
    </row>
    <row r="45" spans="1:1" outlineLevel="1" x14ac:dyDescent="0.25">
      <c r="A45" t="s">
        <v>343</v>
      </c>
    </row>
    <row r="46" spans="1:1" outlineLevel="1" x14ac:dyDescent="0.25">
      <c r="A46" s="154" t="s">
        <v>344</v>
      </c>
    </row>
    <row r="47" spans="1:1" outlineLevel="1" x14ac:dyDescent="0.25"/>
    <row r="48" spans="1:1" outlineLevel="1" x14ac:dyDescent="0.25">
      <c r="A48" s="150" t="s">
        <v>313</v>
      </c>
    </row>
    <row r="49" spans="1:1" outlineLevel="1" x14ac:dyDescent="0.25">
      <c r="A49" t="s">
        <v>314</v>
      </c>
    </row>
    <row r="50" spans="1:1" outlineLevel="1" x14ac:dyDescent="0.25">
      <c r="A50" t="s">
        <v>315</v>
      </c>
    </row>
    <row r="51" spans="1:1" outlineLevel="1" x14ac:dyDescent="0.25">
      <c r="A51" t="s">
        <v>338</v>
      </c>
    </row>
    <row r="52" spans="1:1" outlineLevel="1" x14ac:dyDescent="0.25">
      <c r="A52" t="s">
        <v>406</v>
      </c>
    </row>
    <row r="53" spans="1:1" outlineLevel="1" x14ac:dyDescent="0.25">
      <c r="A53" s="152"/>
    </row>
    <row r="54" spans="1:1" outlineLevel="1" x14ac:dyDescent="0.25">
      <c r="A54" s="202" t="s">
        <v>398</v>
      </c>
    </row>
    <row r="55" spans="1:1" outlineLevel="1" x14ac:dyDescent="0.25">
      <c r="A55" s="152" t="s">
        <v>399</v>
      </c>
    </row>
    <row r="56" spans="1:1" outlineLevel="1" x14ac:dyDescent="0.25">
      <c r="A56" s="152" t="s">
        <v>400</v>
      </c>
    </row>
    <row r="57" spans="1:1" outlineLevel="1" x14ac:dyDescent="0.25">
      <c r="A57" s="152" t="s">
        <v>402</v>
      </c>
    </row>
    <row r="58" spans="1:1" outlineLevel="1" x14ac:dyDescent="0.25">
      <c r="A58" s="152"/>
    </row>
    <row r="60" spans="1:1" ht="18.75" x14ac:dyDescent="0.3">
      <c r="A60" s="147" t="s">
        <v>316</v>
      </c>
    </row>
    <row r="61" spans="1:1" hidden="1" outlineLevel="1" x14ac:dyDescent="0.25">
      <c r="A61" t="s">
        <v>317</v>
      </c>
    </row>
    <row r="62" spans="1:1" hidden="1" outlineLevel="1" x14ac:dyDescent="0.25">
      <c r="A62" t="s">
        <v>318</v>
      </c>
    </row>
    <row r="63" spans="1:1" hidden="1" outlineLevel="1" x14ac:dyDescent="0.25"/>
    <row r="64" spans="1:1" hidden="1" outlineLevel="1" x14ac:dyDescent="0.25">
      <c r="A64" s="150" t="s">
        <v>319</v>
      </c>
    </row>
    <row r="65" spans="1:1" hidden="1" outlineLevel="1" x14ac:dyDescent="0.25">
      <c r="A65" t="s">
        <v>320</v>
      </c>
    </row>
    <row r="66" spans="1:1" collapsed="1" x14ac:dyDescent="0.25"/>
    <row r="67" spans="1:1" ht="18.75" x14ac:dyDescent="0.3">
      <c r="A67" s="147" t="s">
        <v>321</v>
      </c>
    </row>
    <row r="68" spans="1:1" outlineLevel="1" x14ac:dyDescent="0.25">
      <c r="A68" t="s">
        <v>322</v>
      </c>
    </row>
    <row r="69" spans="1:1" outlineLevel="1" x14ac:dyDescent="0.25">
      <c r="A69" s="153" t="s">
        <v>401</v>
      </c>
    </row>
    <row r="70" spans="1:1" outlineLevel="1" x14ac:dyDescent="0.25">
      <c r="A70" s="153" t="s">
        <v>407</v>
      </c>
    </row>
    <row r="71" spans="1:1" outlineLevel="1" x14ac:dyDescent="0.25">
      <c r="A71" t="s">
        <v>410</v>
      </c>
    </row>
    <row r="72" spans="1:1" outlineLevel="1" x14ac:dyDescent="0.25">
      <c r="A72" t="s">
        <v>412</v>
      </c>
    </row>
    <row r="73" spans="1:1" outlineLevel="1" x14ac:dyDescent="0.25">
      <c r="A73" s="153" t="s">
        <v>413</v>
      </c>
    </row>
    <row r="74" spans="1:1" outlineLevel="1" x14ac:dyDescent="0.25">
      <c r="A74" s="153" t="s">
        <v>418</v>
      </c>
    </row>
    <row r="75" spans="1:1" outlineLevel="1" x14ac:dyDescent="0.25">
      <c r="A75" s="153" t="s">
        <v>420</v>
      </c>
    </row>
    <row r="76" spans="1:1" outlineLevel="1" x14ac:dyDescent="0.25">
      <c r="A76" s="153" t="s">
        <v>451</v>
      </c>
    </row>
    <row r="77" spans="1:1" outlineLevel="1" x14ac:dyDescent="0.25">
      <c r="A77" s="153" t="s">
        <v>468</v>
      </c>
    </row>
    <row r="78" spans="1:1" outlineLevel="1" x14ac:dyDescent="0.25">
      <c r="A78" s="153" t="s">
        <v>475</v>
      </c>
    </row>
    <row r="79" spans="1:1" outlineLevel="1" x14ac:dyDescent="0.25">
      <c r="A79" s="153" t="s">
        <v>476</v>
      </c>
    </row>
    <row r="80" spans="1:1" outlineLevel="1" x14ac:dyDescent="0.25">
      <c r="A80" s="153" t="s">
        <v>516</v>
      </c>
    </row>
  </sheetData>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10"/>
  <sheetViews>
    <sheetView tabSelected="1" workbookViewId="0">
      <selection activeCell="B17" sqref="B17"/>
    </sheetView>
  </sheetViews>
  <sheetFormatPr baseColWidth="10" defaultColWidth="11.42578125" defaultRowHeight="15" x14ac:dyDescent="0.25"/>
  <cols>
    <col min="1" max="1" width="23.7109375" bestFit="1" customWidth="1"/>
    <col min="2" max="2" width="53" customWidth="1"/>
  </cols>
  <sheetData>
    <row r="2" spans="1:2" x14ac:dyDescent="0.25">
      <c r="B2" s="59" t="s">
        <v>174</v>
      </c>
    </row>
    <row r="3" spans="1:2" ht="15.75" thickBot="1" x14ac:dyDescent="0.3"/>
    <row r="4" spans="1:2" x14ac:dyDescent="0.25">
      <c r="A4" s="58" t="s">
        <v>117</v>
      </c>
      <c r="B4" s="166" t="s">
        <v>526</v>
      </c>
    </row>
    <row r="5" spans="1:2" x14ac:dyDescent="0.25">
      <c r="A5" s="24" t="s">
        <v>43</v>
      </c>
      <c r="B5" s="167" t="s">
        <v>547</v>
      </c>
    </row>
    <row r="6" spans="1:2" x14ac:dyDescent="0.25">
      <c r="A6" s="24" t="s">
        <v>118</v>
      </c>
      <c r="B6" s="168">
        <v>43466</v>
      </c>
    </row>
    <row r="7" spans="1:2" x14ac:dyDescent="0.25">
      <c r="A7" s="24" t="s">
        <v>119</v>
      </c>
      <c r="B7" s="168">
        <v>45291</v>
      </c>
    </row>
    <row r="8" spans="1:2" x14ac:dyDescent="0.25">
      <c r="A8" s="24" t="s">
        <v>166</v>
      </c>
      <c r="B8" s="167" t="s">
        <v>168</v>
      </c>
    </row>
    <row r="9" spans="1:2" ht="20.25" customHeight="1" x14ac:dyDescent="0.25">
      <c r="A9" s="24" t="s">
        <v>480</v>
      </c>
      <c r="B9" s="278">
        <v>2</v>
      </c>
    </row>
    <row r="10" spans="1:2" ht="15.75" thickBot="1" x14ac:dyDescent="0.3">
      <c r="A10" s="26" t="s">
        <v>167</v>
      </c>
      <c r="B10" s="172" t="s">
        <v>365</v>
      </c>
    </row>
  </sheetData>
  <dataValidations count="1">
    <dataValidation type="whole" allowBlank="1" showInputMessage="1" showErrorMessage="1" sqref="B9">
      <formula1>1</formula1>
      <formula2>10</formula2>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7"/>
  <sheetViews>
    <sheetView topLeftCell="C1" workbookViewId="0">
      <selection activeCell="K119" sqref="K119"/>
    </sheetView>
  </sheetViews>
  <sheetFormatPr baseColWidth="10" defaultColWidth="11.42578125" defaultRowHeight="15" outlineLevelRow="1" outlineLevelCol="1" x14ac:dyDescent="0.25"/>
  <cols>
    <col min="2" max="2" width="8.42578125" customWidth="1"/>
    <col min="3" max="3" width="15.7109375" customWidth="1"/>
    <col min="4" max="4" width="12" customWidth="1"/>
    <col min="5" max="5" width="10.7109375" customWidth="1"/>
    <col min="7" max="7" width="15.7109375" customWidth="1"/>
    <col min="8" max="8" width="12.28515625" customWidth="1"/>
    <col min="9" max="9" width="11.42578125" customWidth="1"/>
    <col min="10" max="10" width="11.140625" customWidth="1"/>
    <col min="11" max="11" width="14.42578125" customWidth="1"/>
    <col min="12" max="13" width="11.42578125" customWidth="1"/>
    <col min="14" max="14" width="10.140625" customWidth="1"/>
    <col min="15" max="15" width="15.28515625" customWidth="1"/>
    <col min="16" max="16" width="11.140625" customWidth="1"/>
    <col min="17" max="17" width="11.42578125" customWidth="1"/>
    <col min="18" max="18" width="12.7109375" customWidth="1"/>
    <col min="19" max="19" width="15.28515625" customWidth="1"/>
    <col min="20" max="20" width="15.28515625" hidden="1" customWidth="1" outlineLevel="1"/>
    <col min="21" max="21" width="11.42578125" hidden="1" customWidth="1" outlineLevel="1"/>
    <col min="22" max="22" width="12.7109375" hidden="1" customWidth="1" outlineLevel="1"/>
    <col min="23" max="24" width="15.28515625" hidden="1" customWidth="1" outlineLevel="1"/>
    <col min="25" max="25" width="11.42578125" hidden="1" customWidth="1" outlineLevel="1"/>
    <col min="26" max="26" width="12.7109375" hidden="1" customWidth="1" outlineLevel="1"/>
    <col min="27" max="27" width="15.28515625" hidden="1" customWidth="1" outlineLevel="1"/>
    <col min="28" max="28" width="12.7109375" hidden="1" customWidth="1" outlineLevel="1"/>
    <col min="29" max="29" width="15.28515625" hidden="1" customWidth="1" outlineLevel="1"/>
    <col min="30" max="30" width="12.7109375" hidden="1" customWidth="1" outlineLevel="1"/>
    <col min="31" max="31" width="15.28515625" hidden="1" customWidth="1" outlineLevel="1"/>
    <col min="32" max="32" width="12.7109375" customWidth="1" collapsed="1"/>
    <col min="33" max="33" width="11.42578125" customWidth="1"/>
    <col min="34" max="34" width="12.7109375" customWidth="1"/>
    <col min="35" max="36" width="15.28515625" customWidth="1"/>
    <col min="37" max="37" width="11.42578125" customWidth="1"/>
    <col min="38" max="38" width="12.7109375" customWidth="1"/>
    <col min="39" max="40" width="15.28515625" customWidth="1"/>
    <col min="41" max="41" width="11.42578125" customWidth="1"/>
    <col min="42" max="42" width="12.7109375" customWidth="1"/>
    <col min="43" max="44" width="15.28515625" customWidth="1"/>
    <col min="45" max="45" width="11.42578125" customWidth="1"/>
    <col min="46" max="46" width="12.7109375" customWidth="1"/>
    <col min="47" max="48" width="15.28515625" customWidth="1"/>
    <col min="49" max="49" width="11.42578125" customWidth="1"/>
    <col min="50" max="50" width="12.7109375" customWidth="1"/>
    <col min="51" max="52" width="15.28515625" customWidth="1"/>
  </cols>
  <sheetData>
    <row r="1" spans="1:33" ht="23.25" x14ac:dyDescent="0.35">
      <c r="A1" s="101" t="s">
        <v>173</v>
      </c>
      <c r="B1" s="101"/>
      <c r="C1" s="102"/>
      <c r="D1" s="102"/>
      <c r="E1" s="102"/>
      <c r="F1" s="102"/>
      <c r="G1" s="101" t="str">
        <f>'1. Prosjektinfo'!B4</f>
        <v>Navn på prosjekt</v>
      </c>
      <c r="H1" s="102"/>
      <c r="I1" s="59" t="s">
        <v>174</v>
      </c>
      <c r="J1" s="59"/>
    </row>
    <row r="2" spans="1:33" ht="21" x14ac:dyDescent="0.35">
      <c r="A2" s="103" t="s">
        <v>170</v>
      </c>
      <c r="B2" s="103"/>
      <c r="C2" s="103"/>
      <c r="D2" s="102"/>
      <c r="E2" s="102"/>
      <c r="F2" s="102"/>
      <c r="G2" s="103" t="str">
        <f>'1. Prosjektinfo'!B5</f>
        <v>Anne Ås</v>
      </c>
      <c r="H2" s="102"/>
    </row>
    <row r="3" spans="1:33" ht="21" x14ac:dyDescent="0.35">
      <c r="A3" s="103" t="s">
        <v>118</v>
      </c>
      <c r="B3" s="103"/>
      <c r="C3" s="103"/>
      <c r="D3" s="102"/>
      <c r="E3" s="102"/>
      <c r="F3" s="102"/>
      <c r="G3" s="104">
        <f>'1. Prosjektinfo'!B6</f>
        <v>43466</v>
      </c>
      <c r="H3" s="102"/>
    </row>
    <row r="4" spans="1:33" ht="21" x14ac:dyDescent="0.35">
      <c r="A4" s="103" t="s">
        <v>119</v>
      </c>
      <c r="B4" s="103"/>
      <c r="C4" s="103"/>
      <c r="D4" s="102"/>
      <c r="E4" s="102"/>
      <c r="F4" s="102"/>
      <c r="G4" s="104">
        <f>'1. Prosjektinfo'!B7</f>
        <v>45291</v>
      </c>
      <c r="H4" s="102"/>
    </row>
    <row r="5" spans="1:33" ht="21" x14ac:dyDescent="0.35">
      <c r="A5" s="103" t="s">
        <v>166</v>
      </c>
      <c r="B5" s="103"/>
      <c r="C5" s="103"/>
      <c r="D5" s="102"/>
      <c r="E5" s="102"/>
      <c r="F5" s="102"/>
      <c r="G5" s="280" t="str">
        <f>'1. Prosjektinfo'!B8</f>
        <v>Bidrag</v>
      </c>
      <c r="H5" s="102"/>
    </row>
    <row r="6" spans="1:33" ht="21" x14ac:dyDescent="0.35">
      <c r="A6" s="103" t="s">
        <v>480</v>
      </c>
      <c r="B6" s="103"/>
      <c r="C6" s="103"/>
      <c r="D6" s="102"/>
      <c r="E6" s="102"/>
      <c r="F6" s="102"/>
      <c r="G6" s="280">
        <f>'1. Prosjektinfo'!B9</f>
        <v>2</v>
      </c>
      <c r="H6" s="102"/>
    </row>
    <row r="7" spans="1:33" ht="21" x14ac:dyDescent="0.35">
      <c r="A7" s="103" t="s">
        <v>167</v>
      </c>
      <c r="B7" s="103"/>
      <c r="C7" s="103"/>
      <c r="D7" s="102"/>
      <c r="E7" s="102"/>
      <c r="F7" s="102"/>
      <c r="G7" s="103" t="str">
        <f>'1. Prosjektinfo'!B10</f>
        <v>Norges Forskningsråd</v>
      </c>
      <c r="H7" s="102"/>
    </row>
    <row r="10" spans="1:33" x14ac:dyDescent="0.25">
      <c r="H10" s="327">
        <f>YEAR('1. Prosjektinfo'!B6)</f>
        <v>2019</v>
      </c>
      <c r="I10" s="328"/>
      <c r="J10" s="327">
        <f>H10+1</f>
        <v>2020</v>
      </c>
      <c r="K10" s="328"/>
      <c r="L10" s="327">
        <f>J10+1</f>
        <v>2021</v>
      </c>
      <c r="M10" s="328"/>
      <c r="N10" s="327">
        <f>L10+1</f>
        <v>2022</v>
      </c>
      <c r="O10" s="328"/>
      <c r="P10" s="327">
        <f>N10+1</f>
        <v>2023</v>
      </c>
      <c r="Q10" s="328"/>
      <c r="R10" s="327">
        <f>P10+1</f>
        <v>2024</v>
      </c>
      <c r="S10" s="328"/>
      <c r="T10" s="327">
        <f>R10+1</f>
        <v>2025</v>
      </c>
      <c r="U10" s="328"/>
      <c r="V10" s="327">
        <f>T10+1</f>
        <v>2026</v>
      </c>
      <c r="W10" s="328"/>
      <c r="X10" s="327">
        <f>V10+1</f>
        <v>2027</v>
      </c>
      <c r="Y10" s="328"/>
      <c r="Z10" s="327">
        <f t="shared" ref="Z10" si="0">X10+1</f>
        <v>2028</v>
      </c>
      <c r="AA10" s="328"/>
      <c r="AB10" s="327">
        <f t="shared" ref="AB10" si="1">Z10+1</f>
        <v>2029</v>
      </c>
      <c r="AC10" s="328"/>
      <c r="AD10" s="327">
        <f t="shared" ref="AD10" si="2">AB10+1</f>
        <v>2030</v>
      </c>
      <c r="AE10" s="328"/>
      <c r="AF10" s="325" t="s">
        <v>79</v>
      </c>
      <c r="AG10" s="326"/>
    </row>
    <row r="11" spans="1:33" s="169" customFormat="1" ht="60" x14ac:dyDescent="0.25">
      <c r="A11" s="19" t="s">
        <v>450</v>
      </c>
      <c r="B11" s="19" t="s">
        <v>481</v>
      </c>
      <c r="C11" s="19" t="s">
        <v>457</v>
      </c>
      <c r="D11" s="19" t="s">
        <v>65</v>
      </c>
      <c r="E11" s="19" t="s">
        <v>421</v>
      </c>
      <c r="F11" s="19" t="s">
        <v>366</v>
      </c>
      <c r="G11" s="19" t="s">
        <v>120</v>
      </c>
      <c r="H11" s="19" t="s">
        <v>123</v>
      </c>
      <c r="I11" s="19" t="s">
        <v>91</v>
      </c>
      <c r="J11" s="19" t="s">
        <v>123</v>
      </c>
      <c r="K11" s="19" t="s">
        <v>91</v>
      </c>
      <c r="L11" s="19" t="s">
        <v>123</v>
      </c>
      <c r="M11" s="19" t="s">
        <v>91</v>
      </c>
      <c r="N11" s="19" t="s">
        <v>123</v>
      </c>
      <c r="O11" s="19" t="s">
        <v>91</v>
      </c>
      <c r="P11" s="19" t="s">
        <v>123</v>
      </c>
      <c r="Q11" s="19" t="s">
        <v>91</v>
      </c>
      <c r="R11" s="19" t="s">
        <v>123</v>
      </c>
      <c r="S11" s="19" t="s">
        <v>91</v>
      </c>
      <c r="T11" s="19" t="s">
        <v>123</v>
      </c>
      <c r="U11" s="19" t="s">
        <v>91</v>
      </c>
      <c r="V11" s="19" t="s">
        <v>123</v>
      </c>
      <c r="W11" s="19" t="s">
        <v>91</v>
      </c>
      <c r="X11" s="19" t="s">
        <v>123</v>
      </c>
      <c r="Y11" s="19" t="s">
        <v>91</v>
      </c>
      <c r="Z11" s="19" t="s">
        <v>123</v>
      </c>
      <c r="AA11" s="19" t="s">
        <v>91</v>
      </c>
      <c r="AB11" s="19" t="s">
        <v>123</v>
      </c>
      <c r="AC11" s="19" t="s">
        <v>91</v>
      </c>
      <c r="AD11" s="19" t="s">
        <v>123</v>
      </c>
      <c r="AE11" s="19" t="s">
        <v>91</v>
      </c>
      <c r="AF11" s="19" t="s">
        <v>123</v>
      </c>
      <c r="AG11" s="19" t="s">
        <v>91</v>
      </c>
    </row>
    <row r="12" spans="1:33" s="169" customFormat="1" x14ac:dyDescent="0.25">
      <c r="A12" s="20" t="s">
        <v>95</v>
      </c>
      <c r="B12" s="279">
        <v>2</v>
      </c>
      <c r="C12" s="156" t="s">
        <v>57</v>
      </c>
      <c r="D12" s="21">
        <f>IF(C12&gt;0,VLOOKUP(C12,Oppslag!B:C,2,FALSE),0)</f>
        <v>53</v>
      </c>
      <c r="E12" s="20" t="s">
        <v>183</v>
      </c>
      <c r="F12" s="20" t="s">
        <v>183</v>
      </c>
      <c r="G12" s="156" t="s">
        <v>121</v>
      </c>
      <c r="H12" s="23">
        <v>1</v>
      </c>
      <c r="I12" s="155">
        <f>D71+E71</f>
        <v>1053197.3595263883</v>
      </c>
      <c r="J12" s="23">
        <v>1</v>
      </c>
      <c r="K12" s="155">
        <f>F71+G71</f>
        <v>1084793.2803121801</v>
      </c>
      <c r="L12" s="23">
        <v>1</v>
      </c>
      <c r="M12" s="155">
        <f>H71+I71</f>
        <v>1117337.0787215456</v>
      </c>
      <c r="N12" s="23"/>
      <c r="O12" s="155">
        <f>J71+K71</f>
        <v>0</v>
      </c>
      <c r="P12" s="23"/>
      <c r="Q12" s="155">
        <f>L71+M71</f>
        <v>0</v>
      </c>
      <c r="R12" s="23"/>
      <c r="S12" s="155">
        <f>N71+O71</f>
        <v>0</v>
      </c>
      <c r="T12" s="23"/>
      <c r="U12" s="155">
        <f>P71+Q71</f>
        <v>0</v>
      </c>
      <c r="V12" s="23"/>
      <c r="W12" s="155">
        <f>R71+S71</f>
        <v>0</v>
      </c>
      <c r="X12" s="23"/>
      <c r="Y12" s="155">
        <f>T71+U71</f>
        <v>0</v>
      </c>
      <c r="Z12" s="23"/>
      <c r="AA12" s="155">
        <f>V71+W71</f>
        <v>0</v>
      </c>
      <c r="AB12" s="23"/>
      <c r="AC12" s="155">
        <f>X71+Y71</f>
        <v>0</v>
      </c>
      <c r="AD12" s="23"/>
      <c r="AE12" s="155">
        <f>Z71+AA71</f>
        <v>0</v>
      </c>
      <c r="AF12" s="256">
        <f>AD12+AB12+Z12+X12+V12+T12+R12+P12+N12+L12+J12+H12</f>
        <v>3</v>
      </c>
      <c r="AG12" s="155">
        <f>AE12+AC12+AA12+Y12+W12+U12+S12+Q12+O12+M12+K12+I12</f>
        <v>3255327.718560114</v>
      </c>
    </row>
    <row r="13" spans="1:33" s="169" customFormat="1" x14ac:dyDescent="0.25">
      <c r="A13" s="20" t="s">
        <v>96</v>
      </c>
      <c r="B13" s="279">
        <v>2</v>
      </c>
      <c r="C13" s="156" t="s">
        <v>57</v>
      </c>
      <c r="D13" s="21">
        <f>IF(C13&gt;0,VLOOKUP(C13,Oppslag!B:C,2,FALSE),0)</f>
        <v>53</v>
      </c>
      <c r="E13" s="20" t="s">
        <v>183</v>
      </c>
      <c r="F13" s="20" t="s">
        <v>183</v>
      </c>
      <c r="G13" s="156" t="s">
        <v>121</v>
      </c>
      <c r="H13" s="23"/>
      <c r="I13" s="155">
        <f t="shared" ref="I13:I22" si="3">D72+E72</f>
        <v>0</v>
      </c>
      <c r="J13" s="23"/>
      <c r="K13" s="155">
        <f t="shared" ref="K13:K51" si="4">F72+G72</f>
        <v>0</v>
      </c>
      <c r="L13" s="23">
        <v>1</v>
      </c>
      <c r="M13" s="155">
        <f t="shared" ref="M13:M51" si="5">H72+I72</f>
        <v>1117337.0787215456</v>
      </c>
      <c r="N13" s="23">
        <v>1</v>
      </c>
      <c r="O13" s="155">
        <f t="shared" ref="O13:O51" si="6">J72+K72</f>
        <v>1150857.1910831924</v>
      </c>
      <c r="P13" s="23">
        <v>1</v>
      </c>
      <c r="Q13" s="155">
        <f t="shared" ref="Q13:Q51" si="7">L72+M72</f>
        <v>1185382.9068156881</v>
      </c>
      <c r="R13" s="23"/>
      <c r="S13" s="155">
        <f t="shared" ref="S13:S51" si="8">N72+O72</f>
        <v>0</v>
      </c>
      <c r="T13" s="23"/>
      <c r="U13" s="155">
        <f t="shared" ref="U13:U51" si="9">P72+Q72</f>
        <v>0</v>
      </c>
      <c r="V13" s="23"/>
      <c r="W13" s="155">
        <f t="shared" ref="W13:W51" si="10">R72+S72</f>
        <v>0</v>
      </c>
      <c r="X13" s="23"/>
      <c r="Y13" s="155">
        <f t="shared" ref="Y13:Y51" si="11">T72+U72</f>
        <v>0</v>
      </c>
      <c r="Z13" s="23"/>
      <c r="AA13" s="155">
        <f t="shared" ref="AA13:AA51" si="12">V72+W72</f>
        <v>0</v>
      </c>
      <c r="AB13" s="23"/>
      <c r="AC13" s="155">
        <f t="shared" ref="AC13:AC51" si="13">X72+Y72</f>
        <v>0</v>
      </c>
      <c r="AD13" s="23"/>
      <c r="AE13" s="155">
        <f t="shared" ref="AE13:AE51" si="14">Z72+AA72</f>
        <v>0</v>
      </c>
      <c r="AF13" s="256">
        <f t="shared" ref="AF13:AF51" si="15">AD13+AB13+Z13+X13+V13+T13+R13+P13+N13+L13+J13+H13</f>
        <v>3</v>
      </c>
      <c r="AG13" s="155">
        <f t="shared" ref="AG13:AG51" si="16">AE13+AC13+AA13+Y13+W13+U13+S13+Q13+O13+M13+K13+I13</f>
        <v>3453577.1766204261</v>
      </c>
    </row>
    <row r="14" spans="1:33" s="169" customFormat="1" x14ac:dyDescent="0.25">
      <c r="A14" s="20" t="s">
        <v>97</v>
      </c>
      <c r="B14" s="279">
        <v>2</v>
      </c>
      <c r="C14" s="156" t="s">
        <v>39</v>
      </c>
      <c r="D14" s="21">
        <f>IF(C14&gt;0,VLOOKUP(C14,Oppslag!B:C,2,FALSE),0)</f>
        <v>59</v>
      </c>
      <c r="E14" s="20" t="s">
        <v>183</v>
      </c>
      <c r="F14" s="20" t="s">
        <v>183</v>
      </c>
      <c r="G14" s="156" t="s">
        <v>121</v>
      </c>
      <c r="H14" s="23"/>
      <c r="I14" s="155">
        <f t="shared" si="3"/>
        <v>0</v>
      </c>
      <c r="J14" s="23"/>
      <c r="K14" s="155">
        <f t="shared" si="4"/>
        <v>0</v>
      </c>
      <c r="L14" s="23">
        <v>1</v>
      </c>
      <c r="M14" s="155">
        <f t="shared" si="5"/>
        <v>1173121.9930997917</v>
      </c>
      <c r="N14" s="23">
        <v>1</v>
      </c>
      <c r="O14" s="155">
        <f t="shared" si="6"/>
        <v>1208315.6528927856</v>
      </c>
      <c r="P14" s="23"/>
      <c r="Q14" s="155">
        <f t="shared" si="7"/>
        <v>0</v>
      </c>
      <c r="R14" s="23"/>
      <c r="S14" s="155">
        <f t="shared" si="8"/>
        <v>0</v>
      </c>
      <c r="T14" s="23"/>
      <c r="U14" s="155">
        <f t="shared" si="9"/>
        <v>0</v>
      </c>
      <c r="V14" s="23"/>
      <c r="W14" s="155">
        <f t="shared" si="10"/>
        <v>0</v>
      </c>
      <c r="X14" s="23"/>
      <c r="Y14" s="155">
        <f t="shared" si="11"/>
        <v>0</v>
      </c>
      <c r="Z14" s="23"/>
      <c r="AA14" s="155">
        <f t="shared" si="12"/>
        <v>0</v>
      </c>
      <c r="AB14" s="23"/>
      <c r="AC14" s="155">
        <f t="shared" si="13"/>
        <v>0</v>
      </c>
      <c r="AD14" s="23"/>
      <c r="AE14" s="155">
        <f t="shared" si="14"/>
        <v>0</v>
      </c>
      <c r="AF14" s="256">
        <f t="shared" si="15"/>
        <v>2</v>
      </c>
      <c r="AG14" s="155">
        <f t="shared" si="16"/>
        <v>2381437.6459925771</v>
      </c>
    </row>
    <row r="15" spans="1:33" s="169" customFormat="1" x14ac:dyDescent="0.25">
      <c r="A15" s="20" t="s">
        <v>98</v>
      </c>
      <c r="B15" s="279"/>
      <c r="C15" s="156"/>
      <c r="D15" s="21">
        <f>IF(C15&gt;0,VLOOKUP(C15,Oppslag!B:C,2,FALSE),0)</f>
        <v>0</v>
      </c>
      <c r="E15" s="20"/>
      <c r="F15" s="20"/>
      <c r="G15" s="156"/>
      <c r="H15" s="23"/>
      <c r="I15" s="155">
        <f t="shared" si="3"/>
        <v>0</v>
      </c>
      <c r="J15" s="23"/>
      <c r="K15" s="155">
        <f t="shared" si="4"/>
        <v>0</v>
      </c>
      <c r="L15" s="23"/>
      <c r="M15" s="155">
        <f t="shared" si="5"/>
        <v>0</v>
      </c>
      <c r="N15" s="23"/>
      <c r="O15" s="155">
        <f t="shared" si="6"/>
        <v>0</v>
      </c>
      <c r="P15" s="23"/>
      <c r="Q15" s="155">
        <f t="shared" si="7"/>
        <v>0</v>
      </c>
      <c r="R15" s="23"/>
      <c r="S15" s="155">
        <f t="shared" si="8"/>
        <v>0</v>
      </c>
      <c r="T15" s="23"/>
      <c r="U15" s="155">
        <f t="shared" si="9"/>
        <v>0</v>
      </c>
      <c r="V15" s="23"/>
      <c r="W15" s="155">
        <f t="shared" si="10"/>
        <v>0</v>
      </c>
      <c r="X15" s="23"/>
      <c r="Y15" s="155">
        <f t="shared" si="11"/>
        <v>0</v>
      </c>
      <c r="Z15" s="23"/>
      <c r="AA15" s="155">
        <f t="shared" si="12"/>
        <v>0</v>
      </c>
      <c r="AB15" s="23"/>
      <c r="AC15" s="155">
        <f t="shared" si="13"/>
        <v>0</v>
      </c>
      <c r="AD15" s="23"/>
      <c r="AE15" s="155">
        <f t="shared" si="14"/>
        <v>0</v>
      </c>
      <c r="AF15" s="256">
        <f t="shared" si="15"/>
        <v>0</v>
      </c>
      <c r="AG15" s="155">
        <f t="shared" si="16"/>
        <v>0</v>
      </c>
    </row>
    <row r="16" spans="1:33" s="169" customFormat="1" x14ac:dyDescent="0.25">
      <c r="A16" s="20" t="s">
        <v>99</v>
      </c>
      <c r="B16" s="279"/>
      <c r="C16" s="156"/>
      <c r="D16" s="21">
        <f>IF(C16&gt;0,VLOOKUP(C16,Oppslag!B:C,2,FALSE),0)</f>
        <v>0</v>
      </c>
      <c r="E16" s="20"/>
      <c r="F16" s="20"/>
      <c r="G16" s="156"/>
      <c r="H16" s="23"/>
      <c r="I16" s="155">
        <f t="shared" si="3"/>
        <v>0</v>
      </c>
      <c r="J16" s="23"/>
      <c r="K16" s="155">
        <f t="shared" si="4"/>
        <v>0</v>
      </c>
      <c r="L16" s="23"/>
      <c r="M16" s="155">
        <f t="shared" si="5"/>
        <v>0</v>
      </c>
      <c r="N16" s="23"/>
      <c r="O16" s="155">
        <f t="shared" si="6"/>
        <v>0</v>
      </c>
      <c r="P16" s="23"/>
      <c r="Q16" s="155">
        <f t="shared" si="7"/>
        <v>0</v>
      </c>
      <c r="R16" s="23"/>
      <c r="S16" s="155">
        <f t="shared" si="8"/>
        <v>0</v>
      </c>
      <c r="T16" s="23"/>
      <c r="U16" s="155">
        <f t="shared" si="9"/>
        <v>0</v>
      </c>
      <c r="V16" s="23"/>
      <c r="W16" s="155">
        <f t="shared" si="10"/>
        <v>0</v>
      </c>
      <c r="X16" s="23"/>
      <c r="Y16" s="155">
        <f t="shared" si="11"/>
        <v>0</v>
      </c>
      <c r="Z16" s="23"/>
      <c r="AA16" s="155">
        <f t="shared" si="12"/>
        <v>0</v>
      </c>
      <c r="AB16" s="23"/>
      <c r="AC16" s="155">
        <f t="shared" si="13"/>
        <v>0</v>
      </c>
      <c r="AD16" s="23"/>
      <c r="AE16" s="155">
        <f t="shared" si="14"/>
        <v>0</v>
      </c>
      <c r="AF16" s="256">
        <f t="shared" si="15"/>
        <v>0</v>
      </c>
      <c r="AG16" s="155">
        <f t="shared" si="16"/>
        <v>0</v>
      </c>
    </row>
    <row r="17" spans="1:33" s="169" customFormat="1" x14ac:dyDescent="0.25">
      <c r="A17" s="20" t="s">
        <v>100</v>
      </c>
      <c r="B17" s="279"/>
      <c r="C17" s="156"/>
      <c r="D17" s="21">
        <f>IF(C17&gt;0,VLOOKUP(C17,Oppslag!B:C,2,FALSE),0)</f>
        <v>0</v>
      </c>
      <c r="E17" s="20"/>
      <c r="F17" s="20"/>
      <c r="G17" s="156"/>
      <c r="H17" s="23"/>
      <c r="I17" s="155">
        <f t="shared" si="3"/>
        <v>0</v>
      </c>
      <c r="J17" s="23"/>
      <c r="K17" s="155">
        <f t="shared" si="4"/>
        <v>0</v>
      </c>
      <c r="L17" s="23"/>
      <c r="M17" s="155">
        <f t="shared" si="5"/>
        <v>0</v>
      </c>
      <c r="N17" s="23"/>
      <c r="O17" s="155">
        <f t="shared" si="6"/>
        <v>0</v>
      </c>
      <c r="P17" s="23"/>
      <c r="Q17" s="155">
        <f t="shared" si="7"/>
        <v>0</v>
      </c>
      <c r="R17" s="23"/>
      <c r="S17" s="155">
        <f t="shared" si="8"/>
        <v>0</v>
      </c>
      <c r="T17" s="23"/>
      <c r="U17" s="155">
        <f t="shared" si="9"/>
        <v>0</v>
      </c>
      <c r="V17" s="23"/>
      <c r="W17" s="155">
        <f t="shared" si="10"/>
        <v>0</v>
      </c>
      <c r="X17" s="23"/>
      <c r="Y17" s="155">
        <f t="shared" si="11"/>
        <v>0</v>
      </c>
      <c r="Z17" s="23"/>
      <c r="AA17" s="155">
        <f t="shared" si="12"/>
        <v>0</v>
      </c>
      <c r="AB17" s="23"/>
      <c r="AC17" s="155">
        <f t="shared" si="13"/>
        <v>0</v>
      </c>
      <c r="AD17" s="23"/>
      <c r="AE17" s="155">
        <f t="shared" si="14"/>
        <v>0</v>
      </c>
      <c r="AF17" s="256">
        <f t="shared" si="15"/>
        <v>0</v>
      </c>
      <c r="AG17" s="155">
        <f t="shared" si="16"/>
        <v>0</v>
      </c>
    </row>
    <row r="18" spans="1:33" s="169" customFormat="1" x14ac:dyDescent="0.25">
      <c r="A18" s="20" t="s">
        <v>101</v>
      </c>
      <c r="B18" s="279"/>
      <c r="C18" s="156"/>
      <c r="D18" s="21">
        <f>IF(C18&gt;0,VLOOKUP(C18,Oppslag!B:C,2,FALSE),0)</f>
        <v>0</v>
      </c>
      <c r="E18" s="20"/>
      <c r="F18" s="20"/>
      <c r="G18" s="156"/>
      <c r="H18" s="23"/>
      <c r="I18" s="155">
        <f t="shared" si="3"/>
        <v>0</v>
      </c>
      <c r="J18" s="23"/>
      <c r="K18" s="155">
        <f t="shared" si="4"/>
        <v>0</v>
      </c>
      <c r="L18" s="23"/>
      <c r="M18" s="155">
        <f t="shared" si="5"/>
        <v>0</v>
      </c>
      <c r="N18" s="23"/>
      <c r="O18" s="155">
        <f t="shared" si="6"/>
        <v>0</v>
      </c>
      <c r="P18" s="23"/>
      <c r="Q18" s="155">
        <f t="shared" si="7"/>
        <v>0</v>
      </c>
      <c r="R18" s="23"/>
      <c r="S18" s="155">
        <f t="shared" si="8"/>
        <v>0</v>
      </c>
      <c r="T18" s="23"/>
      <c r="U18" s="155">
        <f t="shared" si="9"/>
        <v>0</v>
      </c>
      <c r="V18" s="23"/>
      <c r="W18" s="155">
        <f t="shared" si="10"/>
        <v>0</v>
      </c>
      <c r="X18" s="23"/>
      <c r="Y18" s="155">
        <f t="shared" si="11"/>
        <v>0</v>
      </c>
      <c r="Z18" s="23"/>
      <c r="AA18" s="155">
        <f t="shared" si="12"/>
        <v>0</v>
      </c>
      <c r="AB18" s="23"/>
      <c r="AC18" s="155">
        <f t="shared" si="13"/>
        <v>0</v>
      </c>
      <c r="AD18" s="23"/>
      <c r="AE18" s="155">
        <f t="shared" si="14"/>
        <v>0</v>
      </c>
      <c r="AF18" s="256">
        <f t="shared" si="15"/>
        <v>0</v>
      </c>
      <c r="AG18" s="155">
        <f t="shared" si="16"/>
        <v>0</v>
      </c>
    </row>
    <row r="19" spans="1:33" s="169" customFormat="1" x14ac:dyDescent="0.25">
      <c r="A19" s="20" t="s">
        <v>102</v>
      </c>
      <c r="B19" s="279"/>
      <c r="C19" s="156"/>
      <c r="D19" s="21">
        <f>IF(C19&gt;0,VLOOKUP(C19,Oppslag!B:C,2,FALSE),0)</f>
        <v>0</v>
      </c>
      <c r="E19" s="20"/>
      <c r="F19" s="20"/>
      <c r="G19" s="156"/>
      <c r="H19" s="23"/>
      <c r="I19" s="155">
        <f t="shared" si="3"/>
        <v>0</v>
      </c>
      <c r="J19" s="23"/>
      <c r="K19" s="155">
        <f t="shared" si="4"/>
        <v>0</v>
      </c>
      <c r="L19" s="23"/>
      <c r="M19" s="155">
        <f t="shared" si="5"/>
        <v>0</v>
      </c>
      <c r="N19" s="23"/>
      <c r="O19" s="155">
        <f t="shared" si="6"/>
        <v>0</v>
      </c>
      <c r="P19" s="23"/>
      <c r="Q19" s="155">
        <f t="shared" si="7"/>
        <v>0</v>
      </c>
      <c r="R19" s="23"/>
      <c r="S19" s="155">
        <f t="shared" si="8"/>
        <v>0</v>
      </c>
      <c r="T19" s="23"/>
      <c r="U19" s="155">
        <f t="shared" si="9"/>
        <v>0</v>
      </c>
      <c r="V19" s="23"/>
      <c r="W19" s="155">
        <f t="shared" si="10"/>
        <v>0</v>
      </c>
      <c r="X19" s="23"/>
      <c r="Y19" s="155">
        <f t="shared" si="11"/>
        <v>0</v>
      </c>
      <c r="Z19" s="23"/>
      <c r="AA19" s="155">
        <f t="shared" si="12"/>
        <v>0</v>
      </c>
      <c r="AB19" s="23"/>
      <c r="AC19" s="155">
        <f t="shared" si="13"/>
        <v>0</v>
      </c>
      <c r="AD19" s="23"/>
      <c r="AE19" s="155">
        <f t="shared" si="14"/>
        <v>0</v>
      </c>
      <c r="AF19" s="256">
        <f t="shared" si="15"/>
        <v>0</v>
      </c>
      <c r="AG19" s="155">
        <f t="shared" si="16"/>
        <v>0</v>
      </c>
    </row>
    <row r="20" spans="1:33" s="169" customFormat="1" hidden="1" outlineLevel="1" x14ac:dyDescent="0.25">
      <c r="A20" s="20" t="s">
        <v>103</v>
      </c>
      <c r="B20" s="279"/>
      <c r="C20" s="156"/>
      <c r="D20" s="21">
        <f>IF(C20&gt;0,VLOOKUP(C20,Oppslag!B:C,2,FALSE),0)</f>
        <v>0</v>
      </c>
      <c r="E20" s="20"/>
      <c r="F20" s="20"/>
      <c r="G20" s="156"/>
      <c r="H20" s="23"/>
      <c r="I20" s="155">
        <f t="shared" si="3"/>
        <v>0</v>
      </c>
      <c r="J20" s="23"/>
      <c r="K20" s="155">
        <f t="shared" si="4"/>
        <v>0</v>
      </c>
      <c r="L20" s="23"/>
      <c r="M20" s="155">
        <f t="shared" si="5"/>
        <v>0</v>
      </c>
      <c r="N20" s="23"/>
      <c r="O20" s="155">
        <f t="shared" si="6"/>
        <v>0</v>
      </c>
      <c r="P20" s="23"/>
      <c r="Q20" s="155">
        <f t="shared" si="7"/>
        <v>0</v>
      </c>
      <c r="R20" s="23"/>
      <c r="S20" s="155">
        <f t="shared" si="8"/>
        <v>0</v>
      </c>
      <c r="T20" s="23"/>
      <c r="U20" s="155">
        <f t="shared" si="9"/>
        <v>0</v>
      </c>
      <c r="V20" s="23"/>
      <c r="W20" s="155">
        <f t="shared" si="10"/>
        <v>0</v>
      </c>
      <c r="X20" s="23"/>
      <c r="Y20" s="155">
        <f t="shared" si="11"/>
        <v>0</v>
      </c>
      <c r="Z20" s="23"/>
      <c r="AA20" s="155">
        <f t="shared" si="12"/>
        <v>0</v>
      </c>
      <c r="AB20" s="23"/>
      <c r="AC20" s="155">
        <f t="shared" si="13"/>
        <v>0</v>
      </c>
      <c r="AD20" s="23"/>
      <c r="AE20" s="155">
        <f t="shared" si="14"/>
        <v>0</v>
      </c>
      <c r="AF20" s="256">
        <f t="shared" si="15"/>
        <v>0</v>
      </c>
      <c r="AG20" s="155">
        <f t="shared" si="16"/>
        <v>0</v>
      </c>
    </row>
    <row r="21" spans="1:33" s="169" customFormat="1" hidden="1" outlineLevel="1" x14ac:dyDescent="0.25">
      <c r="A21" s="20" t="s">
        <v>104</v>
      </c>
      <c r="B21" s="279"/>
      <c r="C21" s="156"/>
      <c r="D21" s="21">
        <f>IF(C21&gt;0,VLOOKUP(C21,Oppslag!B:C,2,FALSE),0)</f>
        <v>0</v>
      </c>
      <c r="E21" s="20"/>
      <c r="F21" s="20"/>
      <c r="G21" s="156"/>
      <c r="H21" s="23"/>
      <c r="I21" s="155">
        <f t="shared" si="3"/>
        <v>0</v>
      </c>
      <c r="J21" s="23"/>
      <c r="K21" s="155">
        <f t="shared" si="4"/>
        <v>0</v>
      </c>
      <c r="L21" s="23"/>
      <c r="M21" s="155">
        <f t="shared" si="5"/>
        <v>0</v>
      </c>
      <c r="N21" s="23"/>
      <c r="O21" s="155">
        <f t="shared" si="6"/>
        <v>0</v>
      </c>
      <c r="P21" s="23"/>
      <c r="Q21" s="155">
        <f t="shared" si="7"/>
        <v>0</v>
      </c>
      <c r="R21" s="23"/>
      <c r="S21" s="155">
        <f t="shared" si="8"/>
        <v>0</v>
      </c>
      <c r="T21" s="23"/>
      <c r="U21" s="155">
        <f t="shared" si="9"/>
        <v>0</v>
      </c>
      <c r="V21" s="23"/>
      <c r="W21" s="155">
        <f t="shared" si="10"/>
        <v>0</v>
      </c>
      <c r="X21" s="23"/>
      <c r="Y21" s="155">
        <f t="shared" si="11"/>
        <v>0</v>
      </c>
      <c r="Z21" s="23"/>
      <c r="AA21" s="155">
        <f t="shared" si="12"/>
        <v>0</v>
      </c>
      <c r="AB21" s="23"/>
      <c r="AC21" s="155">
        <f t="shared" si="13"/>
        <v>0</v>
      </c>
      <c r="AD21" s="23"/>
      <c r="AE21" s="155">
        <f t="shared" si="14"/>
        <v>0</v>
      </c>
      <c r="AF21" s="256">
        <f t="shared" si="15"/>
        <v>0</v>
      </c>
      <c r="AG21" s="155">
        <f t="shared" si="16"/>
        <v>0</v>
      </c>
    </row>
    <row r="22" spans="1:33" s="169" customFormat="1" hidden="1" outlineLevel="1" x14ac:dyDescent="0.25">
      <c r="A22" s="20" t="s">
        <v>105</v>
      </c>
      <c r="B22" s="279"/>
      <c r="C22" s="156"/>
      <c r="D22" s="21">
        <f>IF(C22&gt;0,VLOOKUP(C22,Oppslag!B:C,2,FALSE),0)</f>
        <v>0</v>
      </c>
      <c r="E22" s="20"/>
      <c r="F22" s="20"/>
      <c r="G22" s="156"/>
      <c r="H22" s="23"/>
      <c r="I22" s="155">
        <f t="shared" si="3"/>
        <v>0</v>
      </c>
      <c r="J22" s="23"/>
      <c r="K22" s="155">
        <f t="shared" si="4"/>
        <v>0</v>
      </c>
      <c r="L22" s="23"/>
      <c r="M22" s="155">
        <f t="shared" si="5"/>
        <v>0</v>
      </c>
      <c r="N22" s="23"/>
      <c r="O22" s="155">
        <f t="shared" si="6"/>
        <v>0</v>
      </c>
      <c r="P22" s="23"/>
      <c r="Q22" s="155">
        <f t="shared" si="7"/>
        <v>0</v>
      </c>
      <c r="R22" s="23"/>
      <c r="S22" s="155">
        <f t="shared" si="8"/>
        <v>0</v>
      </c>
      <c r="T22" s="23"/>
      <c r="U22" s="155">
        <f t="shared" si="9"/>
        <v>0</v>
      </c>
      <c r="V22" s="23"/>
      <c r="W22" s="155">
        <f t="shared" si="10"/>
        <v>0</v>
      </c>
      <c r="X22" s="23"/>
      <c r="Y22" s="155">
        <f t="shared" si="11"/>
        <v>0</v>
      </c>
      <c r="Z22" s="23"/>
      <c r="AA22" s="155">
        <f t="shared" si="12"/>
        <v>0</v>
      </c>
      <c r="AB22" s="23"/>
      <c r="AC22" s="155">
        <f t="shared" si="13"/>
        <v>0</v>
      </c>
      <c r="AD22" s="23"/>
      <c r="AE22" s="155">
        <f t="shared" si="14"/>
        <v>0</v>
      </c>
      <c r="AF22" s="256">
        <f t="shared" si="15"/>
        <v>0</v>
      </c>
      <c r="AG22" s="155">
        <f t="shared" si="16"/>
        <v>0</v>
      </c>
    </row>
    <row r="23" spans="1:33" s="169" customFormat="1" hidden="1" outlineLevel="1" x14ac:dyDescent="0.25">
      <c r="A23" s="20" t="s">
        <v>106</v>
      </c>
      <c r="B23" s="279"/>
      <c r="C23" s="156"/>
      <c r="D23" s="21">
        <f>IF(C23&gt;0,VLOOKUP(C23,Oppslag!B:C,2,FALSE),0)</f>
        <v>0</v>
      </c>
      <c r="E23" s="20"/>
      <c r="F23" s="20"/>
      <c r="G23" s="156"/>
      <c r="H23" s="23"/>
      <c r="I23" s="155">
        <f>D103+E103</f>
        <v>0</v>
      </c>
      <c r="J23" s="23"/>
      <c r="K23" s="155">
        <f t="shared" si="4"/>
        <v>0</v>
      </c>
      <c r="L23" s="23"/>
      <c r="M23" s="155">
        <f t="shared" si="5"/>
        <v>0</v>
      </c>
      <c r="N23" s="23"/>
      <c r="O23" s="155">
        <f t="shared" si="6"/>
        <v>0</v>
      </c>
      <c r="P23" s="23"/>
      <c r="Q23" s="155">
        <f t="shared" si="7"/>
        <v>0</v>
      </c>
      <c r="R23" s="23"/>
      <c r="S23" s="155">
        <f t="shared" si="8"/>
        <v>0</v>
      </c>
      <c r="T23" s="23"/>
      <c r="U23" s="155">
        <f t="shared" si="9"/>
        <v>0</v>
      </c>
      <c r="V23" s="23"/>
      <c r="W23" s="155">
        <f t="shared" si="10"/>
        <v>0</v>
      </c>
      <c r="X23" s="23"/>
      <c r="Y23" s="155">
        <f t="shared" si="11"/>
        <v>0</v>
      </c>
      <c r="Z23" s="23"/>
      <c r="AA23" s="155">
        <f t="shared" si="12"/>
        <v>0</v>
      </c>
      <c r="AB23" s="23"/>
      <c r="AC23" s="155">
        <f t="shared" si="13"/>
        <v>0</v>
      </c>
      <c r="AD23" s="23"/>
      <c r="AE23" s="155">
        <f t="shared" si="14"/>
        <v>0</v>
      </c>
      <c r="AF23" s="256">
        <f t="shared" si="15"/>
        <v>0</v>
      </c>
      <c r="AG23" s="155">
        <f t="shared" si="16"/>
        <v>0</v>
      </c>
    </row>
    <row r="24" spans="1:33" s="169" customFormat="1" hidden="1" outlineLevel="1" x14ac:dyDescent="0.25">
      <c r="A24" s="20" t="s">
        <v>107</v>
      </c>
      <c r="B24" s="279"/>
      <c r="C24" s="156"/>
      <c r="D24" s="21">
        <f>IF(C24&gt;0,VLOOKUP(C24,Oppslag!B:C,2,FALSE),0)</f>
        <v>0</v>
      </c>
      <c r="E24" s="20"/>
      <c r="F24" s="20"/>
      <c r="G24" s="156"/>
      <c r="H24" s="23"/>
      <c r="I24" s="155">
        <f>D104+E104</f>
        <v>0</v>
      </c>
      <c r="J24" s="23"/>
      <c r="K24" s="155">
        <f t="shared" si="4"/>
        <v>0</v>
      </c>
      <c r="L24" s="23"/>
      <c r="M24" s="155">
        <f t="shared" si="5"/>
        <v>0</v>
      </c>
      <c r="N24" s="23"/>
      <c r="O24" s="155">
        <f t="shared" si="6"/>
        <v>0</v>
      </c>
      <c r="P24" s="23"/>
      <c r="Q24" s="155">
        <f t="shared" si="7"/>
        <v>0</v>
      </c>
      <c r="R24" s="23"/>
      <c r="S24" s="155">
        <f t="shared" si="8"/>
        <v>0</v>
      </c>
      <c r="T24" s="23"/>
      <c r="U24" s="155">
        <f t="shared" si="9"/>
        <v>0</v>
      </c>
      <c r="V24" s="23"/>
      <c r="W24" s="155">
        <f t="shared" si="10"/>
        <v>0</v>
      </c>
      <c r="X24" s="23"/>
      <c r="Y24" s="155">
        <f t="shared" si="11"/>
        <v>0</v>
      </c>
      <c r="Z24" s="23"/>
      <c r="AA24" s="155">
        <f t="shared" si="12"/>
        <v>0</v>
      </c>
      <c r="AB24" s="23"/>
      <c r="AC24" s="155">
        <f t="shared" si="13"/>
        <v>0</v>
      </c>
      <c r="AD24" s="23"/>
      <c r="AE24" s="155">
        <f t="shared" si="14"/>
        <v>0</v>
      </c>
      <c r="AF24" s="256">
        <f t="shared" si="15"/>
        <v>0</v>
      </c>
      <c r="AG24" s="155">
        <f t="shared" si="16"/>
        <v>0</v>
      </c>
    </row>
    <row r="25" spans="1:33" s="169" customFormat="1" hidden="1" outlineLevel="1" x14ac:dyDescent="0.25">
      <c r="A25" s="20" t="s">
        <v>108</v>
      </c>
      <c r="B25" s="279"/>
      <c r="C25" s="156"/>
      <c r="D25" s="21">
        <f>IF(C25&gt;0,VLOOKUP(C25,Oppslag!B:C,2,FALSE),0)</f>
        <v>0</v>
      </c>
      <c r="E25" s="20"/>
      <c r="F25" s="20"/>
      <c r="G25" s="156"/>
      <c r="H25" s="23"/>
      <c r="I25" s="155">
        <f>D105+E105</f>
        <v>0</v>
      </c>
      <c r="J25" s="23"/>
      <c r="K25" s="155">
        <f t="shared" si="4"/>
        <v>0</v>
      </c>
      <c r="L25" s="23"/>
      <c r="M25" s="155">
        <f t="shared" si="5"/>
        <v>0</v>
      </c>
      <c r="N25" s="23"/>
      <c r="O25" s="155">
        <f t="shared" si="6"/>
        <v>0</v>
      </c>
      <c r="P25" s="23"/>
      <c r="Q25" s="155">
        <f t="shared" si="7"/>
        <v>0</v>
      </c>
      <c r="R25" s="23"/>
      <c r="S25" s="155">
        <f t="shared" si="8"/>
        <v>0</v>
      </c>
      <c r="T25" s="23"/>
      <c r="U25" s="155">
        <f t="shared" si="9"/>
        <v>0</v>
      </c>
      <c r="V25" s="23"/>
      <c r="W25" s="155">
        <f t="shared" si="10"/>
        <v>0</v>
      </c>
      <c r="X25" s="23"/>
      <c r="Y25" s="155">
        <f t="shared" si="11"/>
        <v>0</v>
      </c>
      <c r="Z25" s="23"/>
      <c r="AA25" s="155">
        <f t="shared" si="12"/>
        <v>0</v>
      </c>
      <c r="AB25" s="23"/>
      <c r="AC25" s="155">
        <f t="shared" si="13"/>
        <v>0</v>
      </c>
      <c r="AD25" s="23"/>
      <c r="AE25" s="155">
        <f t="shared" si="14"/>
        <v>0</v>
      </c>
      <c r="AF25" s="256">
        <f t="shared" si="15"/>
        <v>0</v>
      </c>
      <c r="AG25" s="155">
        <f t="shared" si="16"/>
        <v>0</v>
      </c>
    </row>
    <row r="26" spans="1:33" s="169" customFormat="1" hidden="1" outlineLevel="1" x14ac:dyDescent="0.25">
      <c r="A26" s="20" t="s">
        <v>109</v>
      </c>
      <c r="B26" s="279"/>
      <c r="C26" s="156"/>
      <c r="D26" s="21">
        <f>IF(C26&gt;0,VLOOKUP(C26,Oppslag!B:C,2,FALSE),0)</f>
        <v>0</v>
      </c>
      <c r="E26" s="20"/>
      <c r="F26" s="20"/>
      <c r="G26" s="156"/>
      <c r="H26" s="23"/>
      <c r="I26" s="155">
        <f>D106+E106</f>
        <v>0</v>
      </c>
      <c r="J26" s="23"/>
      <c r="K26" s="155">
        <f t="shared" si="4"/>
        <v>0</v>
      </c>
      <c r="L26" s="23"/>
      <c r="M26" s="155">
        <f t="shared" si="5"/>
        <v>0</v>
      </c>
      <c r="N26" s="23"/>
      <c r="O26" s="155">
        <f t="shared" si="6"/>
        <v>0</v>
      </c>
      <c r="P26" s="23"/>
      <c r="Q26" s="155">
        <f t="shared" si="7"/>
        <v>0</v>
      </c>
      <c r="R26" s="23"/>
      <c r="S26" s="155">
        <f t="shared" si="8"/>
        <v>0</v>
      </c>
      <c r="T26" s="23"/>
      <c r="U26" s="155">
        <f t="shared" si="9"/>
        <v>0</v>
      </c>
      <c r="V26" s="23"/>
      <c r="W26" s="155">
        <f t="shared" si="10"/>
        <v>0</v>
      </c>
      <c r="X26" s="23"/>
      <c r="Y26" s="155">
        <f t="shared" si="11"/>
        <v>0</v>
      </c>
      <c r="Z26" s="23"/>
      <c r="AA26" s="155">
        <f t="shared" si="12"/>
        <v>0</v>
      </c>
      <c r="AB26" s="23"/>
      <c r="AC26" s="155">
        <f t="shared" si="13"/>
        <v>0</v>
      </c>
      <c r="AD26" s="23"/>
      <c r="AE26" s="155">
        <f t="shared" si="14"/>
        <v>0</v>
      </c>
      <c r="AF26" s="256">
        <f t="shared" si="15"/>
        <v>0</v>
      </c>
      <c r="AG26" s="155">
        <f t="shared" si="16"/>
        <v>0</v>
      </c>
    </row>
    <row r="27" spans="1:33" s="169" customFormat="1" hidden="1" outlineLevel="1" x14ac:dyDescent="0.25">
      <c r="A27" s="20" t="s">
        <v>110</v>
      </c>
      <c r="B27" s="279"/>
      <c r="C27" s="156"/>
      <c r="D27" s="21">
        <f>IF(C27&gt;0,VLOOKUP(C27,Oppslag!B:C,2,FALSE),0)</f>
        <v>0</v>
      </c>
      <c r="E27" s="20"/>
      <c r="F27" s="20"/>
      <c r="G27" s="156"/>
      <c r="H27" s="23"/>
      <c r="I27" s="155">
        <f t="shared" ref="I27:I48" si="17">D108+E108</f>
        <v>0</v>
      </c>
      <c r="J27" s="23"/>
      <c r="K27" s="155">
        <f t="shared" si="4"/>
        <v>0</v>
      </c>
      <c r="L27" s="23"/>
      <c r="M27" s="155">
        <f t="shared" si="5"/>
        <v>0</v>
      </c>
      <c r="N27" s="23"/>
      <c r="O27" s="155">
        <f t="shared" si="6"/>
        <v>0</v>
      </c>
      <c r="P27" s="23"/>
      <c r="Q27" s="155">
        <f t="shared" si="7"/>
        <v>0</v>
      </c>
      <c r="R27" s="23"/>
      <c r="S27" s="155">
        <f t="shared" si="8"/>
        <v>0</v>
      </c>
      <c r="T27" s="23"/>
      <c r="U27" s="155">
        <f t="shared" si="9"/>
        <v>0</v>
      </c>
      <c r="V27" s="23"/>
      <c r="W27" s="155">
        <f t="shared" si="10"/>
        <v>0</v>
      </c>
      <c r="X27" s="23"/>
      <c r="Y27" s="155">
        <f t="shared" si="11"/>
        <v>0</v>
      </c>
      <c r="Z27" s="23"/>
      <c r="AA27" s="155">
        <f t="shared" si="12"/>
        <v>0</v>
      </c>
      <c r="AB27" s="23"/>
      <c r="AC27" s="155">
        <f t="shared" si="13"/>
        <v>0</v>
      </c>
      <c r="AD27" s="23"/>
      <c r="AE27" s="155">
        <f t="shared" si="14"/>
        <v>0</v>
      </c>
      <c r="AF27" s="256">
        <f t="shared" si="15"/>
        <v>0</v>
      </c>
      <c r="AG27" s="155">
        <f t="shared" si="16"/>
        <v>0</v>
      </c>
    </row>
    <row r="28" spans="1:33" s="169" customFormat="1" hidden="1" outlineLevel="1" x14ac:dyDescent="0.25">
      <c r="A28" s="20" t="s">
        <v>111</v>
      </c>
      <c r="B28" s="279"/>
      <c r="C28" s="156"/>
      <c r="D28" s="21">
        <f>IF(C28&gt;0,VLOOKUP(C28,Oppslag!B:C,2,FALSE),0)</f>
        <v>0</v>
      </c>
      <c r="E28" s="20"/>
      <c r="F28" s="20"/>
      <c r="G28" s="156"/>
      <c r="H28" s="23"/>
      <c r="I28" s="155">
        <f t="shared" si="17"/>
        <v>0</v>
      </c>
      <c r="J28" s="23"/>
      <c r="K28" s="155">
        <f t="shared" si="4"/>
        <v>0</v>
      </c>
      <c r="L28" s="23"/>
      <c r="M28" s="155">
        <f t="shared" si="5"/>
        <v>0</v>
      </c>
      <c r="N28" s="23"/>
      <c r="O28" s="155">
        <f t="shared" si="6"/>
        <v>0</v>
      </c>
      <c r="P28" s="23"/>
      <c r="Q28" s="155">
        <f t="shared" si="7"/>
        <v>0</v>
      </c>
      <c r="R28" s="23"/>
      <c r="S28" s="155">
        <f t="shared" si="8"/>
        <v>0</v>
      </c>
      <c r="T28" s="23"/>
      <c r="U28" s="155">
        <f t="shared" si="9"/>
        <v>0</v>
      </c>
      <c r="V28" s="23"/>
      <c r="W28" s="155">
        <f t="shared" si="10"/>
        <v>0</v>
      </c>
      <c r="X28" s="23"/>
      <c r="Y28" s="155">
        <f t="shared" si="11"/>
        <v>0</v>
      </c>
      <c r="Z28" s="23"/>
      <c r="AA28" s="155">
        <f t="shared" si="12"/>
        <v>0</v>
      </c>
      <c r="AB28" s="23"/>
      <c r="AC28" s="155">
        <f t="shared" si="13"/>
        <v>0</v>
      </c>
      <c r="AD28" s="23"/>
      <c r="AE28" s="155">
        <f t="shared" si="14"/>
        <v>0</v>
      </c>
      <c r="AF28" s="256">
        <f t="shared" si="15"/>
        <v>0</v>
      </c>
      <c r="AG28" s="155">
        <f t="shared" si="16"/>
        <v>0</v>
      </c>
    </row>
    <row r="29" spans="1:33" s="169" customFormat="1" hidden="1" outlineLevel="1" x14ac:dyDescent="0.25">
      <c r="A29" s="20" t="s">
        <v>112</v>
      </c>
      <c r="B29" s="279"/>
      <c r="C29" s="156"/>
      <c r="D29" s="21">
        <f>IF(C29&gt;0,VLOOKUP(C29,Oppslag!B:C,2,FALSE),0)</f>
        <v>0</v>
      </c>
      <c r="E29" s="20"/>
      <c r="F29" s="20"/>
      <c r="G29" s="156"/>
      <c r="H29" s="23"/>
      <c r="I29" s="155">
        <f t="shared" si="17"/>
        <v>0</v>
      </c>
      <c r="J29" s="23"/>
      <c r="K29" s="155">
        <f t="shared" si="4"/>
        <v>0</v>
      </c>
      <c r="L29" s="23"/>
      <c r="M29" s="155">
        <f t="shared" si="5"/>
        <v>0</v>
      </c>
      <c r="N29" s="23"/>
      <c r="O29" s="155">
        <f t="shared" si="6"/>
        <v>0</v>
      </c>
      <c r="P29" s="23"/>
      <c r="Q29" s="155">
        <f t="shared" si="7"/>
        <v>0</v>
      </c>
      <c r="R29" s="23"/>
      <c r="S29" s="155">
        <f t="shared" si="8"/>
        <v>0</v>
      </c>
      <c r="T29" s="23"/>
      <c r="U29" s="155">
        <f t="shared" si="9"/>
        <v>0</v>
      </c>
      <c r="V29" s="23"/>
      <c r="W29" s="155">
        <f t="shared" si="10"/>
        <v>0</v>
      </c>
      <c r="X29" s="23"/>
      <c r="Y29" s="155">
        <f t="shared" si="11"/>
        <v>0</v>
      </c>
      <c r="Z29" s="23"/>
      <c r="AA29" s="155">
        <f t="shared" si="12"/>
        <v>0</v>
      </c>
      <c r="AB29" s="23"/>
      <c r="AC29" s="155">
        <f t="shared" si="13"/>
        <v>0</v>
      </c>
      <c r="AD29" s="23"/>
      <c r="AE29" s="155">
        <f t="shared" si="14"/>
        <v>0</v>
      </c>
      <c r="AF29" s="256">
        <f t="shared" si="15"/>
        <v>0</v>
      </c>
      <c r="AG29" s="155">
        <f t="shared" si="16"/>
        <v>0</v>
      </c>
    </row>
    <row r="30" spans="1:33" s="169" customFormat="1" hidden="1" outlineLevel="1" x14ac:dyDescent="0.25">
      <c r="A30" s="20" t="s">
        <v>482</v>
      </c>
      <c r="B30" s="279"/>
      <c r="C30" s="156"/>
      <c r="D30" s="21">
        <f>IF(C30&gt;0,VLOOKUP(C30,Oppslag!B:C,2,FALSE),0)</f>
        <v>0</v>
      </c>
      <c r="E30" s="20"/>
      <c r="F30" s="20"/>
      <c r="G30" s="156"/>
      <c r="H30" s="23"/>
      <c r="I30" s="155">
        <f t="shared" si="17"/>
        <v>0</v>
      </c>
      <c r="J30" s="23"/>
      <c r="K30" s="155">
        <f t="shared" si="4"/>
        <v>0</v>
      </c>
      <c r="L30" s="23"/>
      <c r="M30" s="155">
        <f t="shared" si="5"/>
        <v>0</v>
      </c>
      <c r="N30" s="23"/>
      <c r="O30" s="155">
        <f t="shared" si="6"/>
        <v>0</v>
      </c>
      <c r="P30" s="23"/>
      <c r="Q30" s="155">
        <f t="shared" si="7"/>
        <v>0</v>
      </c>
      <c r="R30" s="23"/>
      <c r="S30" s="155">
        <f t="shared" si="8"/>
        <v>0</v>
      </c>
      <c r="T30" s="23"/>
      <c r="U30" s="155">
        <f t="shared" si="9"/>
        <v>0</v>
      </c>
      <c r="V30" s="23"/>
      <c r="W30" s="155">
        <f t="shared" si="10"/>
        <v>0</v>
      </c>
      <c r="X30" s="23"/>
      <c r="Y30" s="155">
        <f t="shared" si="11"/>
        <v>0</v>
      </c>
      <c r="Z30" s="23"/>
      <c r="AA30" s="155">
        <f t="shared" si="12"/>
        <v>0</v>
      </c>
      <c r="AB30" s="23"/>
      <c r="AC30" s="155">
        <f t="shared" si="13"/>
        <v>0</v>
      </c>
      <c r="AD30" s="23"/>
      <c r="AE30" s="155">
        <f t="shared" si="14"/>
        <v>0</v>
      </c>
      <c r="AF30" s="256">
        <f t="shared" si="15"/>
        <v>0</v>
      </c>
      <c r="AG30" s="155">
        <f t="shared" si="16"/>
        <v>0</v>
      </c>
    </row>
    <row r="31" spans="1:33" s="169" customFormat="1" hidden="1" outlineLevel="1" x14ac:dyDescent="0.25">
      <c r="A31" s="20" t="s">
        <v>483</v>
      </c>
      <c r="B31" s="279"/>
      <c r="C31" s="156"/>
      <c r="D31" s="21">
        <f>IF(C31&gt;0,VLOOKUP(C31,Oppslag!B:C,2,FALSE),0)</f>
        <v>0</v>
      </c>
      <c r="E31" s="20"/>
      <c r="F31" s="20"/>
      <c r="G31" s="156"/>
      <c r="H31" s="23"/>
      <c r="I31" s="155">
        <f t="shared" si="17"/>
        <v>0</v>
      </c>
      <c r="J31" s="23"/>
      <c r="K31" s="155">
        <f t="shared" si="4"/>
        <v>0</v>
      </c>
      <c r="L31" s="23"/>
      <c r="M31" s="155">
        <f t="shared" si="5"/>
        <v>0</v>
      </c>
      <c r="N31" s="23"/>
      <c r="O31" s="155">
        <f t="shared" si="6"/>
        <v>0</v>
      </c>
      <c r="P31" s="23"/>
      <c r="Q31" s="155">
        <f t="shared" si="7"/>
        <v>0</v>
      </c>
      <c r="R31" s="23"/>
      <c r="S31" s="155">
        <f t="shared" si="8"/>
        <v>0</v>
      </c>
      <c r="T31" s="23"/>
      <c r="U31" s="155">
        <f t="shared" si="9"/>
        <v>0</v>
      </c>
      <c r="V31" s="23"/>
      <c r="W31" s="155">
        <f t="shared" si="10"/>
        <v>0</v>
      </c>
      <c r="X31" s="23"/>
      <c r="Y31" s="155">
        <f t="shared" si="11"/>
        <v>0</v>
      </c>
      <c r="Z31" s="23"/>
      <c r="AA31" s="155">
        <f t="shared" si="12"/>
        <v>0</v>
      </c>
      <c r="AB31" s="23"/>
      <c r="AC31" s="155">
        <f t="shared" si="13"/>
        <v>0</v>
      </c>
      <c r="AD31" s="23"/>
      <c r="AE31" s="155">
        <f t="shared" si="14"/>
        <v>0</v>
      </c>
      <c r="AF31" s="256">
        <f t="shared" si="15"/>
        <v>0</v>
      </c>
      <c r="AG31" s="155">
        <f t="shared" si="16"/>
        <v>0</v>
      </c>
    </row>
    <row r="32" spans="1:33" s="169" customFormat="1" hidden="1" outlineLevel="1" x14ac:dyDescent="0.25">
      <c r="A32" s="20" t="s">
        <v>484</v>
      </c>
      <c r="B32" s="279"/>
      <c r="C32" s="156"/>
      <c r="D32" s="21">
        <f>IF(C32&gt;0,VLOOKUP(C32,Oppslag!B:C,2,FALSE),0)</f>
        <v>0</v>
      </c>
      <c r="E32" s="20"/>
      <c r="F32" s="20"/>
      <c r="G32" s="156"/>
      <c r="H32" s="23"/>
      <c r="I32" s="155">
        <f t="shared" si="17"/>
        <v>0</v>
      </c>
      <c r="J32" s="23"/>
      <c r="K32" s="155">
        <f t="shared" si="4"/>
        <v>0</v>
      </c>
      <c r="L32" s="23"/>
      <c r="M32" s="155">
        <f t="shared" si="5"/>
        <v>0</v>
      </c>
      <c r="N32" s="23"/>
      <c r="O32" s="155">
        <f t="shared" si="6"/>
        <v>0</v>
      </c>
      <c r="P32" s="23"/>
      <c r="Q32" s="155">
        <f t="shared" si="7"/>
        <v>0</v>
      </c>
      <c r="R32" s="23"/>
      <c r="S32" s="155">
        <f t="shared" si="8"/>
        <v>0</v>
      </c>
      <c r="T32" s="23"/>
      <c r="U32" s="155">
        <f t="shared" si="9"/>
        <v>0</v>
      </c>
      <c r="V32" s="23"/>
      <c r="W32" s="155">
        <f t="shared" si="10"/>
        <v>0</v>
      </c>
      <c r="X32" s="23"/>
      <c r="Y32" s="155">
        <f t="shared" si="11"/>
        <v>0</v>
      </c>
      <c r="Z32" s="23"/>
      <c r="AA32" s="155">
        <f t="shared" si="12"/>
        <v>0</v>
      </c>
      <c r="AB32" s="23"/>
      <c r="AC32" s="155">
        <f t="shared" si="13"/>
        <v>0</v>
      </c>
      <c r="AD32" s="23"/>
      <c r="AE32" s="155">
        <f t="shared" si="14"/>
        <v>0</v>
      </c>
      <c r="AF32" s="256">
        <f t="shared" si="15"/>
        <v>0</v>
      </c>
      <c r="AG32" s="155">
        <f t="shared" si="16"/>
        <v>0</v>
      </c>
    </row>
    <row r="33" spans="1:33" s="169" customFormat="1" hidden="1" outlineLevel="1" x14ac:dyDescent="0.25">
      <c r="A33" s="20" t="s">
        <v>485</v>
      </c>
      <c r="B33" s="279"/>
      <c r="C33" s="156"/>
      <c r="D33" s="21">
        <f>IF(C33&gt;0,VLOOKUP(C33,Oppslag!B:C,2,FALSE),0)</f>
        <v>0</v>
      </c>
      <c r="E33" s="20"/>
      <c r="F33" s="20"/>
      <c r="G33" s="156"/>
      <c r="H33" s="23"/>
      <c r="I33" s="155">
        <f t="shared" si="17"/>
        <v>0</v>
      </c>
      <c r="J33" s="23"/>
      <c r="K33" s="155">
        <f t="shared" si="4"/>
        <v>0</v>
      </c>
      <c r="L33" s="23"/>
      <c r="M33" s="155">
        <f t="shared" si="5"/>
        <v>0</v>
      </c>
      <c r="N33" s="23"/>
      <c r="O33" s="155">
        <f t="shared" si="6"/>
        <v>0</v>
      </c>
      <c r="P33" s="23"/>
      <c r="Q33" s="155">
        <f t="shared" si="7"/>
        <v>0</v>
      </c>
      <c r="R33" s="23"/>
      <c r="S33" s="155">
        <f t="shared" si="8"/>
        <v>0</v>
      </c>
      <c r="T33" s="23"/>
      <c r="U33" s="155">
        <f t="shared" si="9"/>
        <v>0</v>
      </c>
      <c r="V33" s="23"/>
      <c r="W33" s="155">
        <f t="shared" si="10"/>
        <v>0</v>
      </c>
      <c r="X33" s="23"/>
      <c r="Y33" s="155">
        <f t="shared" si="11"/>
        <v>0</v>
      </c>
      <c r="Z33" s="23"/>
      <c r="AA33" s="155">
        <f t="shared" si="12"/>
        <v>0</v>
      </c>
      <c r="AB33" s="23"/>
      <c r="AC33" s="155">
        <f t="shared" si="13"/>
        <v>0</v>
      </c>
      <c r="AD33" s="23"/>
      <c r="AE33" s="155">
        <f t="shared" si="14"/>
        <v>0</v>
      </c>
      <c r="AF33" s="256">
        <f t="shared" si="15"/>
        <v>0</v>
      </c>
      <c r="AG33" s="155">
        <f t="shared" si="16"/>
        <v>0</v>
      </c>
    </row>
    <row r="34" spans="1:33" s="169" customFormat="1" hidden="1" outlineLevel="1" x14ac:dyDescent="0.25">
      <c r="A34" s="20" t="s">
        <v>486</v>
      </c>
      <c r="B34" s="279"/>
      <c r="C34" s="156"/>
      <c r="D34" s="21">
        <f>IF(C34&gt;0,VLOOKUP(C34,Oppslag!B:C,2,FALSE),0)</f>
        <v>0</v>
      </c>
      <c r="E34" s="20"/>
      <c r="F34" s="20"/>
      <c r="G34" s="156"/>
      <c r="H34" s="23"/>
      <c r="I34" s="155">
        <f t="shared" si="17"/>
        <v>0</v>
      </c>
      <c r="J34" s="23"/>
      <c r="K34" s="155">
        <f t="shared" si="4"/>
        <v>0</v>
      </c>
      <c r="L34" s="23"/>
      <c r="M34" s="155">
        <f t="shared" si="5"/>
        <v>0</v>
      </c>
      <c r="N34" s="23"/>
      <c r="O34" s="155">
        <f t="shared" si="6"/>
        <v>0</v>
      </c>
      <c r="P34" s="23"/>
      <c r="Q34" s="155">
        <f t="shared" si="7"/>
        <v>0</v>
      </c>
      <c r="R34" s="23"/>
      <c r="S34" s="155">
        <f t="shared" si="8"/>
        <v>0</v>
      </c>
      <c r="T34" s="23"/>
      <c r="U34" s="155">
        <f t="shared" si="9"/>
        <v>0</v>
      </c>
      <c r="V34" s="23"/>
      <c r="W34" s="155">
        <f t="shared" si="10"/>
        <v>0</v>
      </c>
      <c r="X34" s="23"/>
      <c r="Y34" s="155">
        <f t="shared" si="11"/>
        <v>0</v>
      </c>
      <c r="Z34" s="23"/>
      <c r="AA34" s="155">
        <f t="shared" si="12"/>
        <v>0</v>
      </c>
      <c r="AB34" s="23"/>
      <c r="AC34" s="155">
        <f t="shared" si="13"/>
        <v>0</v>
      </c>
      <c r="AD34" s="23"/>
      <c r="AE34" s="155">
        <f t="shared" si="14"/>
        <v>0</v>
      </c>
      <c r="AF34" s="256">
        <f t="shared" si="15"/>
        <v>0</v>
      </c>
      <c r="AG34" s="155">
        <f t="shared" si="16"/>
        <v>0</v>
      </c>
    </row>
    <row r="35" spans="1:33" s="169" customFormat="1" hidden="1" outlineLevel="1" x14ac:dyDescent="0.25">
      <c r="A35" s="20" t="s">
        <v>487</v>
      </c>
      <c r="B35" s="279"/>
      <c r="C35" s="156"/>
      <c r="D35" s="21">
        <f>IF(C35&gt;0,VLOOKUP(C35,Oppslag!B:C,2,FALSE),0)</f>
        <v>0</v>
      </c>
      <c r="E35" s="20"/>
      <c r="F35" s="20"/>
      <c r="G35" s="156"/>
      <c r="H35" s="23"/>
      <c r="I35" s="155">
        <f t="shared" si="17"/>
        <v>0</v>
      </c>
      <c r="J35" s="23"/>
      <c r="K35" s="155">
        <f t="shared" si="4"/>
        <v>0</v>
      </c>
      <c r="L35" s="23"/>
      <c r="M35" s="155">
        <f t="shared" si="5"/>
        <v>0</v>
      </c>
      <c r="N35" s="23"/>
      <c r="O35" s="155">
        <f t="shared" si="6"/>
        <v>0</v>
      </c>
      <c r="P35" s="23"/>
      <c r="Q35" s="155">
        <f t="shared" si="7"/>
        <v>0</v>
      </c>
      <c r="R35" s="23"/>
      <c r="S35" s="155">
        <f t="shared" si="8"/>
        <v>0</v>
      </c>
      <c r="T35" s="23"/>
      <c r="U35" s="155">
        <f t="shared" si="9"/>
        <v>0</v>
      </c>
      <c r="V35" s="23"/>
      <c r="W35" s="155">
        <f t="shared" si="10"/>
        <v>0</v>
      </c>
      <c r="X35" s="23"/>
      <c r="Y35" s="155">
        <f t="shared" si="11"/>
        <v>0</v>
      </c>
      <c r="Z35" s="23"/>
      <c r="AA35" s="155">
        <f t="shared" si="12"/>
        <v>0</v>
      </c>
      <c r="AB35" s="23"/>
      <c r="AC35" s="155">
        <f t="shared" si="13"/>
        <v>0</v>
      </c>
      <c r="AD35" s="23"/>
      <c r="AE35" s="155">
        <f t="shared" si="14"/>
        <v>0</v>
      </c>
      <c r="AF35" s="256">
        <f t="shared" si="15"/>
        <v>0</v>
      </c>
      <c r="AG35" s="155">
        <f t="shared" si="16"/>
        <v>0</v>
      </c>
    </row>
    <row r="36" spans="1:33" s="169" customFormat="1" hidden="1" outlineLevel="1" x14ac:dyDescent="0.25">
      <c r="A36" s="20" t="s">
        <v>488</v>
      </c>
      <c r="B36" s="279"/>
      <c r="C36" s="156"/>
      <c r="D36" s="21">
        <f>IF(C36&gt;0,VLOOKUP(C36,Oppslag!B:C,2,FALSE),0)</f>
        <v>0</v>
      </c>
      <c r="E36" s="20"/>
      <c r="F36" s="20"/>
      <c r="G36" s="156"/>
      <c r="H36" s="23"/>
      <c r="I36" s="155">
        <f t="shared" si="17"/>
        <v>0</v>
      </c>
      <c r="J36" s="23"/>
      <c r="K36" s="155">
        <f t="shared" si="4"/>
        <v>0</v>
      </c>
      <c r="L36" s="23"/>
      <c r="M36" s="155">
        <f t="shared" si="5"/>
        <v>0</v>
      </c>
      <c r="N36" s="23"/>
      <c r="O36" s="155">
        <f t="shared" si="6"/>
        <v>0</v>
      </c>
      <c r="P36" s="23"/>
      <c r="Q36" s="155">
        <f t="shared" si="7"/>
        <v>0</v>
      </c>
      <c r="R36" s="23"/>
      <c r="S36" s="155">
        <f t="shared" si="8"/>
        <v>0</v>
      </c>
      <c r="T36" s="23"/>
      <c r="U36" s="155">
        <f t="shared" si="9"/>
        <v>0</v>
      </c>
      <c r="V36" s="23"/>
      <c r="W36" s="155">
        <f t="shared" si="10"/>
        <v>0</v>
      </c>
      <c r="X36" s="23"/>
      <c r="Y36" s="155">
        <f t="shared" si="11"/>
        <v>0</v>
      </c>
      <c r="Z36" s="23"/>
      <c r="AA36" s="155">
        <f t="shared" si="12"/>
        <v>0</v>
      </c>
      <c r="AB36" s="23"/>
      <c r="AC36" s="155">
        <f t="shared" si="13"/>
        <v>0</v>
      </c>
      <c r="AD36" s="23"/>
      <c r="AE36" s="155">
        <f t="shared" si="14"/>
        <v>0</v>
      </c>
      <c r="AF36" s="256">
        <f t="shared" si="15"/>
        <v>0</v>
      </c>
      <c r="AG36" s="155">
        <f t="shared" si="16"/>
        <v>0</v>
      </c>
    </row>
    <row r="37" spans="1:33" s="169" customFormat="1" hidden="1" outlineLevel="1" x14ac:dyDescent="0.25">
      <c r="A37" s="20" t="s">
        <v>489</v>
      </c>
      <c r="B37" s="279"/>
      <c r="C37" s="156"/>
      <c r="D37" s="21">
        <f>IF(C37&gt;0,VLOOKUP(C37,Oppslag!B:C,2,FALSE),0)</f>
        <v>0</v>
      </c>
      <c r="E37" s="20"/>
      <c r="F37" s="20"/>
      <c r="G37" s="156"/>
      <c r="H37" s="23"/>
      <c r="I37" s="155">
        <f t="shared" si="17"/>
        <v>0</v>
      </c>
      <c r="J37" s="23"/>
      <c r="K37" s="155">
        <f t="shared" si="4"/>
        <v>0</v>
      </c>
      <c r="L37" s="23"/>
      <c r="M37" s="155">
        <f t="shared" si="5"/>
        <v>0</v>
      </c>
      <c r="N37" s="23"/>
      <c r="O37" s="155">
        <f t="shared" si="6"/>
        <v>0</v>
      </c>
      <c r="P37" s="23"/>
      <c r="Q37" s="155">
        <f t="shared" si="7"/>
        <v>0</v>
      </c>
      <c r="R37" s="23"/>
      <c r="S37" s="155">
        <f t="shared" si="8"/>
        <v>0</v>
      </c>
      <c r="T37" s="23"/>
      <c r="U37" s="155">
        <f t="shared" si="9"/>
        <v>0</v>
      </c>
      <c r="V37" s="23"/>
      <c r="W37" s="155">
        <f t="shared" si="10"/>
        <v>0</v>
      </c>
      <c r="X37" s="23"/>
      <c r="Y37" s="155">
        <f t="shared" si="11"/>
        <v>0</v>
      </c>
      <c r="Z37" s="23"/>
      <c r="AA37" s="155">
        <f t="shared" si="12"/>
        <v>0</v>
      </c>
      <c r="AB37" s="23"/>
      <c r="AC37" s="155">
        <f t="shared" si="13"/>
        <v>0</v>
      </c>
      <c r="AD37" s="23"/>
      <c r="AE37" s="155">
        <f t="shared" si="14"/>
        <v>0</v>
      </c>
      <c r="AF37" s="256">
        <f t="shared" si="15"/>
        <v>0</v>
      </c>
      <c r="AG37" s="155">
        <f t="shared" si="16"/>
        <v>0</v>
      </c>
    </row>
    <row r="38" spans="1:33" s="169" customFormat="1" hidden="1" outlineLevel="1" x14ac:dyDescent="0.25">
      <c r="A38" s="20" t="s">
        <v>490</v>
      </c>
      <c r="B38" s="279"/>
      <c r="C38" s="156"/>
      <c r="D38" s="21">
        <f>IF(C38&gt;0,VLOOKUP(C38,Oppslag!B:C,2,FALSE),0)</f>
        <v>0</v>
      </c>
      <c r="E38" s="20"/>
      <c r="F38" s="20"/>
      <c r="G38" s="156"/>
      <c r="H38" s="23"/>
      <c r="I38" s="155">
        <f t="shared" si="17"/>
        <v>0</v>
      </c>
      <c r="J38" s="23"/>
      <c r="K38" s="155">
        <f t="shared" si="4"/>
        <v>0</v>
      </c>
      <c r="L38" s="23"/>
      <c r="M38" s="155">
        <f t="shared" si="5"/>
        <v>0</v>
      </c>
      <c r="N38" s="23"/>
      <c r="O38" s="155">
        <f t="shared" si="6"/>
        <v>0</v>
      </c>
      <c r="P38" s="23"/>
      <c r="Q38" s="155">
        <f t="shared" si="7"/>
        <v>0</v>
      </c>
      <c r="R38" s="23"/>
      <c r="S38" s="155">
        <f t="shared" si="8"/>
        <v>0</v>
      </c>
      <c r="T38" s="23"/>
      <c r="U38" s="155">
        <f t="shared" si="9"/>
        <v>0</v>
      </c>
      <c r="V38" s="23"/>
      <c r="W38" s="155">
        <f t="shared" si="10"/>
        <v>0</v>
      </c>
      <c r="X38" s="23"/>
      <c r="Y38" s="155">
        <f t="shared" si="11"/>
        <v>0</v>
      </c>
      <c r="Z38" s="23"/>
      <c r="AA38" s="155">
        <f t="shared" si="12"/>
        <v>0</v>
      </c>
      <c r="AB38" s="23"/>
      <c r="AC38" s="155">
        <f t="shared" si="13"/>
        <v>0</v>
      </c>
      <c r="AD38" s="23"/>
      <c r="AE38" s="155">
        <f t="shared" si="14"/>
        <v>0</v>
      </c>
      <c r="AF38" s="256">
        <f t="shared" si="15"/>
        <v>0</v>
      </c>
      <c r="AG38" s="155">
        <f t="shared" si="16"/>
        <v>0</v>
      </c>
    </row>
    <row r="39" spans="1:33" s="169" customFormat="1" hidden="1" outlineLevel="1" x14ac:dyDescent="0.25">
      <c r="A39" s="20" t="s">
        <v>491</v>
      </c>
      <c r="B39" s="279"/>
      <c r="C39" s="156"/>
      <c r="D39" s="21">
        <f>IF(C39&gt;0,VLOOKUP(C39,Oppslag!B:C,2,FALSE),0)</f>
        <v>0</v>
      </c>
      <c r="E39" s="20"/>
      <c r="F39" s="20"/>
      <c r="G39" s="156"/>
      <c r="H39" s="23"/>
      <c r="I39" s="155">
        <f t="shared" si="17"/>
        <v>0</v>
      </c>
      <c r="J39" s="23"/>
      <c r="K39" s="155">
        <f t="shared" si="4"/>
        <v>0</v>
      </c>
      <c r="L39" s="23"/>
      <c r="M39" s="155">
        <f t="shared" si="5"/>
        <v>0</v>
      </c>
      <c r="N39" s="23"/>
      <c r="O39" s="155">
        <f t="shared" si="6"/>
        <v>0</v>
      </c>
      <c r="P39" s="23"/>
      <c r="Q39" s="155">
        <f t="shared" si="7"/>
        <v>0</v>
      </c>
      <c r="R39" s="23"/>
      <c r="S39" s="155">
        <f t="shared" si="8"/>
        <v>0</v>
      </c>
      <c r="T39" s="23"/>
      <c r="U39" s="155">
        <f t="shared" si="9"/>
        <v>0</v>
      </c>
      <c r="V39" s="23"/>
      <c r="W39" s="155">
        <f t="shared" si="10"/>
        <v>0</v>
      </c>
      <c r="X39" s="23"/>
      <c r="Y39" s="155">
        <f t="shared" si="11"/>
        <v>0</v>
      </c>
      <c r="Z39" s="23"/>
      <c r="AA39" s="155">
        <f t="shared" si="12"/>
        <v>0</v>
      </c>
      <c r="AB39" s="23"/>
      <c r="AC39" s="155">
        <f t="shared" si="13"/>
        <v>0</v>
      </c>
      <c r="AD39" s="23"/>
      <c r="AE39" s="155">
        <f t="shared" si="14"/>
        <v>0</v>
      </c>
      <c r="AF39" s="256">
        <f t="shared" si="15"/>
        <v>0</v>
      </c>
      <c r="AG39" s="155">
        <f t="shared" si="16"/>
        <v>0</v>
      </c>
    </row>
    <row r="40" spans="1:33" s="169" customFormat="1" hidden="1" outlineLevel="1" x14ac:dyDescent="0.25">
      <c r="A40" s="20" t="s">
        <v>492</v>
      </c>
      <c r="B40" s="279"/>
      <c r="C40" s="156"/>
      <c r="D40" s="21">
        <f>IF(C40&gt;0,VLOOKUP(C40,Oppslag!B:C,2,FALSE),0)</f>
        <v>0</v>
      </c>
      <c r="E40" s="20"/>
      <c r="F40" s="20"/>
      <c r="G40" s="156"/>
      <c r="H40" s="23"/>
      <c r="I40" s="155">
        <f t="shared" si="17"/>
        <v>0</v>
      </c>
      <c r="J40" s="23"/>
      <c r="K40" s="155">
        <f t="shared" si="4"/>
        <v>0</v>
      </c>
      <c r="L40" s="23"/>
      <c r="M40" s="155">
        <f t="shared" si="5"/>
        <v>0</v>
      </c>
      <c r="N40" s="23"/>
      <c r="O40" s="155">
        <f t="shared" si="6"/>
        <v>0</v>
      </c>
      <c r="P40" s="23"/>
      <c r="Q40" s="155">
        <f t="shared" si="7"/>
        <v>0</v>
      </c>
      <c r="R40" s="23"/>
      <c r="S40" s="155">
        <f t="shared" si="8"/>
        <v>0</v>
      </c>
      <c r="T40" s="23"/>
      <c r="U40" s="155">
        <f t="shared" si="9"/>
        <v>0</v>
      </c>
      <c r="V40" s="23"/>
      <c r="W40" s="155">
        <f t="shared" si="10"/>
        <v>0</v>
      </c>
      <c r="X40" s="23"/>
      <c r="Y40" s="155">
        <f t="shared" si="11"/>
        <v>0</v>
      </c>
      <c r="Z40" s="23"/>
      <c r="AA40" s="155">
        <f t="shared" si="12"/>
        <v>0</v>
      </c>
      <c r="AB40" s="23"/>
      <c r="AC40" s="155">
        <f t="shared" si="13"/>
        <v>0</v>
      </c>
      <c r="AD40" s="23"/>
      <c r="AE40" s="155">
        <f t="shared" si="14"/>
        <v>0</v>
      </c>
      <c r="AF40" s="256">
        <f t="shared" si="15"/>
        <v>0</v>
      </c>
      <c r="AG40" s="155">
        <f t="shared" si="16"/>
        <v>0</v>
      </c>
    </row>
    <row r="41" spans="1:33" s="169" customFormat="1" hidden="1" outlineLevel="1" x14ac:dyDescent="0.25">
      <c r="A41" s="20" t="s">
        <v>493</v>
      </c>
      <c r="B41" s="279"/>
      <c r="C41" s="156"/>
      <c r="D41" s="21">
        <f>IF(C41&gt;0,VLOOKUP(C41,Oppslag!B:C,2,FALSE),0)</f>
        <v>0</v>
      </c>
      <c r="E41" s="20"/>
      <c r="F41" s="20"/>
      <c r="G41" s="156"/>
      <c r="H41" s="23"/>
      <c r="I41" s="155">
        <f t="shared" si="17"/>
        <v>0</v>
      </c>
      <c r="J41" s="23"/>
      <c r="K41" s="155">
        <f t="shared" si="4"/>
        <v>0</v>
      </c>
      <c r="L41" s="23"/>
      <c r="M41" s="155">
        <f t="shared" si="5"/>
        <v>0</v>
      </c>
      <c r="N41" s="23"/>
      <c r="O41" s="155">
        <f t="shared" si="6"/>
        <v>0</v>
      </c>
      <c r="P41" s="23"/>
      <c r="Q41" s="155">
        <f t="shared" si="7"/>
        <v>0</v>
      </c>
      <c r="R41" s="23"/>
      <c r="S41" s="155">
        <f t="shared" si="8"/>
        <v>0</v>
      </c>
      <c r="T41" s="23"/>
      <c r="U41" s="155">
        <f t="shared" si="9"/>
        <v>0</v>
      </c>
      <c r="V41" s="23"/>
      <c r="W41" s="155">
        <f t="shared" si="10"/>
        <v>0</v>
      </c>
      <c r="X41" s="23"/>
      <c r="Y41" s="155">
        <f t="shared" si="11"/>
        <v>0</v>
      </c>
      <c r="Z41" s="23"/>
      <c r="AA41" s="155">
        <f t="shared" si="12"/>
        <v>0</v>
      </c>
      <c r="AB41" s="23"/>
      <c r="AC41" s="155">
        <f t="shared" si="13"/>
        <v>0</v>
      </c>
      <c r="AD41" s="23"/>
      <c r="AE41" s="155">
        <f t="shared" si="14"/>
        <v>0</v>
      </c>
      <c r="AF41" s="256">
        <f t="shared" si="15"/>
        <v>0</v>
      </c>
      <c r="AG41" s="155">
        <f t="shared" si="16"/>
        <v>0</v>
      </c>
    </row>
    <row r="42" spans="1:33" s="169" customFormat="1" hidden="1" outlineLevel="1" x14ac:dyDescent="0.25">
      <c r="A42" s="20" t="s">
        <v>494</v>
      </c>
      <c r="B42" s="279"/>
      <c r="C42" s="156"/>
      <c r="D42" s="21">
        <f>IF(C42&gt;0,VLOOKUP(C42,Oppslag!B:C,2,FALSE),0)</f>
        <v>0</v>
      </c>
      <c r="E42" s="20"/>
      <c r="F42" s="20"/>
      <c r="G42" s="156"/>
      <c r="H42" s="23"/>
      <c r="I42" s="155">
        <f t="shared" si="17"/>
        <v>0</v>
      </c>
      <c r="J42" s="23"/>
      <c r="K42" s="155">
        <f t="shared" si="4"/>
        <v>0</v>
      </c>
      <c r="L42" s="23"/>
      <c r="M42" s="155">
        <f t="shared" si="5"/>
        <v>0</v>
      </c>
      <c r="N42" s="23"/>
      <c r="O42" s="155">
        <f t="shared" si="6"/>
        <v>0</v>
      </c>
      <c r="P42" s="23"/>
      <c r="Q42" s="155">
        <f t="shared" si="7"/>
        <v>0</v>
      </c>
      <c r="R42" s="23"/>
      <c r="S42" s="155">
        <f t="shared" si="8"/>
        <v>0</v>
      </c>
      <c r="T42" s="23"/>
      <c r="U42" s="155">
        <f t="shared" si="9"/>
        <v>0</v>
      </c>
      <c r="V42" s="23"/>
      <c r="W42" s="155">
        <f t="shared" si="10"/>
        <v>0</v>
      </c>
      <c r="X42" s="23"/>
      <c r="Y42" s="155">
        <f t="shared" si="11"/>
        <v>0</v>
      </c>
      <c r="Z42" s="23"/>
      <c r="AA42" s="155">
        <f t="shared" si="12"/>
        <v>0</v>
      </c>
      <c r="AB42" s="23"/>
      <c r="AC42" s="155">
        <f t="shared" si="13"/>
        <v>0</v>
      </c>
      <c r="AD42" s="23"/>
      <c r="AE42" s="155">
        <f t="shared" si="14"/>
        <v>0</v>
      </c>
      <c r="AF42" s="256">
        <f t="shared" si="15"/>
        <v>0</v>
      </c>
      <c r="AG42" s="155">
        <f t="shared" si="16"/>
        <v>0</v>
      </c>
    </row>
    <row r="43" spans="1:33" s="169" customFormat="1" hidden="1" outlineLevel="1" x14ac:dyDescent="0.25">
      <c r="A43" s="20" t="s">
        <v>495</v>
      </c>
      <c r="B43" s="279"/>
      <c r="C43" s="156"/>
      <c r="D43" s="21">
        <f>IF(C43&gt;0,VLOOKUP(C43,Oppslag!B:C,2,FALSE),0)</f>
        <v>0</v>
      </c>
      <c r="E43" s="20"/>
      <c r="F43" s="20"/>
      <c r="G43" s="156"/>
      <c r="H43" s="23"/>
      <c r="I43" s="155">
        <f t="shared" si="17"/>
        <v>0</v>
      </c>
      <c r="J43" s="23"/>
      <c r="K43" s="155">
        <f t="shared" si="4"/>
        <v>0</v>
      </c>
      <c r="L43" s="23"/>
      <c r="M43" s="155">
        <f t="shared" si="5"/>
        <v>0</v>
      </c>
      <c r="N43" s="23"/>
      <c r="O43" s="155">
        <f t="shared" si="6"/>
        <v>0</v>
      </c>
      <c r="P43" s="23"/>
      <c r="Q43" s="155">
        <f t="shared" si="7"/>
        <v>0</v>
      </c>
      <c r="R43" s="23"/>
      <c r="S43" s="155">
        <f t="shared" si="8"/>
        <v>0</v>
      </c>
      <c r="T43" s="23"/>
      <c r="U43" s="155">
        <f t="shared" si="9"/>
        <v>0</v>
      </c>
      <c r="V43" s="23"/>
      <c r="W43" s="155">
        <f t="shared" si="10"/>
        <v>0</v>
      </c>
      <c r="X43" s="23"/>
      <c r="Y43" s="155">
        <f t="shared" si="11"/>
        <v>0</v>
      </c>
      <c r="Z43" s="23"/>
      <c r="AA43" s="155">
        <f t="shared" si="12"/>
        <v>0</v>
      </c>
      <c r="AB43" s="23"/>
      <c r="AC43" s="155">
        <f t="shared" si="13"/>
        <v>0</v>
      </c>
      <c r="AD43" s="23"/>
      <c r="AE43" s="155">
        <f t="shared" si="14"/>
        <v>0</v>
      </c>
      <c r="AF43" s="256">
        <f t="shared" si="15"/>
        <v>0</v>
      </c>
      <c r="AG43" s="155">
        <f t="shared" si="16"/>
        <v>0</v>
      </c>
    </row>
    <row r="44" spans="1:33" s="169" customFormat="1" hidden="1" outlineLevel="1" x14ac:dyDescent="0.25">
      <c r="A44" s="20" t="s">
        <v>496</v>
      </c>
      <c r="B44" s="279"/>
      <c r="C44" s="156"/>
      <c r="D44" s="21">
        <f>IF(C44&gt;0,VLOOKUP(C44,Oppslag!B:C,2,FALSE),0)</f>
        <v>0</v>
      </c>
      <c r="E44" s="20"/>
      <c r="F44" s="20"/>
      <c r="G44" s="156"/>
      <c r="H44" s="23"/>
      <c r="I44" s="155">
        <f t="shared" si="17"/>
        <v>0</v>
      </c>
      <c r="J44" s="23"/>
      <c r="K44" s="155">
        <f t="shared" si="4"/>
        <v>0</v>
      </c>
      <c r="L44" s="23"/>
      <c r="M44" s="155">
        <f t="shared" si="5"/>
        <v>0</v>
      </c>
      <c r="N44" s="23"/>
      <c r="O44" s="155">
        <f t="shared" si="6"/>
        <v>0</v>
      </c>
      <c r="P44" s="23"/>
      <c r="Q44" s="155">
        <f t="shared" si="7"/>
        <v>0</v>
      </c>
      <c r="R44" s="23"/>
      <c r="S44" s="155">
        <f t="shared" si="8"/>
        <v>0</v>
      </c>
      <c r="T44" s="23"/>
      <c r="U44" s="155">
        <f t="shared" si="9"/>
        <v>0</v>
      </c>
      <c r="V44" s="23"/>
      <c r="W44" s="155">
        <f t="shared" si="10"/>
        <v>0</v>
      </c>
      <c r="X44" s="23"/>
      <c r="Y44" s="155">
        <f t="shared" si="11"/>
        <v>0</v>
      </c>
      <c r="Z44" s="23"/>
      <c r="AA44" s="155">
        <f t="shared" si="12"/>
        <v>0</v>
      </c>
      <c r="AB44" s="23"/>
      <c r="AC44" s="155">
        <f t="shared" si="13"/>
        <v>0</v>
      </c>
      <c r="AD44" s="23"/>
      <c r="AE44" s="155">
        <f t="shared" si="14"/>
        <v>0</v>
      </c>
      <c r="AF44" s="256">
        <f t="shared" si="15"/>
        <v>0</v>
      </c>
      <c r="AG44" s="155">
        <f t="shared" si="16"/>
        <v>0</v>
      </c>
    </row>
    <row r="45" spans="1:33" s="169" customFormat="1" hidden="1" outlineLevel="1" x14ac:dyDescent="0.25">
      <c r="A45" s="20" t="s">
        <v>497</v>
      </c>
      <c r="B45" s="279"/>
      <c r="C45" s="156"/>
      <c r="D45" s="21">
        <f>IF(C45&gt;0,VLOOKUP(C45,Oppslag!B:C,2,FALSE),0)</f>
        <v>0</v>
      </c>
      <c r="E45" s="20"/>
      <c r="F45" s="20"/>
      <c r="G45" s="156"/>
      <c r="H45" s="23"/>
      <c r="I45" s="155">
        <f t="shared" si="17"/>
        <v>0</v>
      </c>
      <c r="J45" s="23"/>
      <c r="K45" s="155">
        <f t="shared" si="4"/>
        <v>0</v>
      </c>
      <c r="L45" s="23"/>
      <c r="M45" s="155">
        <f t="shared" si="5"/>
        <v>0</v>
      </c>
      <c r="N45" s="23"/>
      <c r="O45" s="155">
        <f t="shared" si="6"/>
        <v>0</v>
      </c>
      <c r="P45" s="23"/>
      <c r="Q45" s="155">
        <f t="shared" si="7"/>
        <v>0</v>
      </c>
      <c r="R45" s="23"/>
      <c r="S45" s="155">
        <f t="shared" si="8"/>
        <v>0</v>
      </c>
      <c r="T45" s="23"/>
      <c r="U45" s="155">
        <f t="shared" si="9"/>
        <v>0</v>
      </c>
      <c r="V45" s="23"/>
      <c r="W45" s="155">
        <f t="shared" si="10"/>
        <v>0</v>
      </c>
      <c r="X45" s="23"/>
      <c r="Y45" s="155">
        <f t="shared" si="11"/>
        <v>0</v>
      </c>
      <c r="Z45" s="23"/>
      <c r="AA45" s="155">
        <f t="shared" si="12"/>
        <v>0</v>
      </c>
      <c r="AB45" s="23"/>
      <c r="AC45" s="155">
        <f t="shared" si="13"/>
        <v>0</v>
      </c>
      <c r="AD45" s="23"/>
      <c r="AE45" s="155">
        <f t="shared" si="14"/>
        <v>0</v>
      </c>
      <c r="AF45" s="256">
        <f t="shared" si="15"/>
        <v>0</v>
      </c>
      <c r="AG45" s="155">
        <f t="shared" si="16"/>
        <v>0</v>
      </c>
    </row>
    <row r="46" spans="1:33" s="169" customFormat="1" hidden="1" outlineLevel="1" x14ac:dyDescent="0.25">
      <c r="A46" s="20" t="s">
        <v>498</v>
      </c>
      <c r="B46" s="279"/>
      <c r="C46" s="156"/>
      <c r="D46" s="21">
        <f>IF(C46&gt;0,VLOOKUP(C46,Oppslag!B:C,2,FALSE),0)</f>
        <v>0</v>
      </c>
      <c r="E46" s="20"/>
      <c r="F46" s="20"/>
      <c r="G46" s="156"/>
      <c r="H46" s="23"/>
      <c r="I46" s="155">
        <f t="shared" si="17"/>
        <v>0</v>
      </c>
      <c r="J46" s="23"/>
      <c r="K46" s="155">
        <f t="shared" si="4"/>
        <v>0</v>
      </c>
      <c r="L46" s="23"/>
      <c r="M46" s="155">
        <f t="shared" si="5"/>
        <v>0</v>
      </c>
      <c r="N46" s="23"/>
      <c r="O46" s="155">
        <f t="shared" si="6"/>
        <v>0</v>
      </c>
      <c r="P46" s="23"/>
      <c r="Q46" s="155">
        <f t="shared" si="7"/>
        <v>0</v>
      </c>
      <c r="R46" s="23"/>
      <c r="S46" s="155">
        <f t="shared" si="8"/>
        <v>0</v>
      </c>
      <c r="T46" s="23"/>
      <c r="U46" s="155">
        <f t="shared" si="9"/>
        <v>0</v>
      </c>
      <c r="V46" s="23"/>
      <c r="W46" s="155">
        <f t="shared" si="10"/>
        <v>0</v>
      </c>
      <c r="X46" s="23"/>
      <c r="Y46" s="155">
        <f t="shared" si="11"/>
        <v>0</v>
      </c>
      <c r="Z46" s="23"/>
      <c r="AA46" s="155">
        <f t="shared" si="12"/>
        <v>0</v>
      </c>
      <c r="AB46" s="23"/>
      <c r="AC46" s="155">
        <f t="shared" si="13"/>
        <v>0</v>
      </c>
      <c r="AD46" s="23"/>
      <c r="AE46" s="155">
        <f t="shared" si="14"/>
        <v>0</v>
      </c>
      <c r="AF46" s="256">
        <f t="shared" si="15"/>
        <v>0</v>
      </c>
      <c r="AG46" s="155">
        <f t="shared" si="16"/>
        <v>0</v>
      </c>
    </row>
    <row r="47" spans="1:33" s="169" customFormat="1" hidden="1" outlineLevel="1" x14ac:dyDescent="0.25">
      <c r="A47" s="20" t="s">
        <v>499</v>
      </c>
      <c r="B47" s="279"/>
      <c r="C47" s="156"/>
      <c r="D47" s="21">
        <f>IF(C47&gt;0,VLOOKUP(C47,Oppslag!B:C,2,FALSE),0)</f>
        <v>0</v>
      </c>
      <c r="E47" s="20"/>
      <c r="F47" s="20"/>
      <c r="G47" s="156"/>
      <c r="H47" s="23"/>
      <c r="I47" s="155">
        <f t="shared" si="17"/>
        <v>0</v>
      </c>
      <c r="J47" s="23"/>
      <c r="K47" s="155">
        <f t="shared" si="4"/>
        <v>0</v>
      </c>
      <c r="L47" s="23"/>
      <c r="M47" s="155">
        <f t="shared" si="5"/>
        <v>0</v>
      </c>
      <c r="N47" s="23"/>
      <c r="O47" s="155">
        <f t="shared" si="6"/>
        <v>0</v>
      </c>
      <c r="P47" s="23"/>
      <c r="Q47" s="155">
        <f t="shared" si="7"/>
        <v>0</v>
      </c>
      <c r="R47" s="23"/>
      <c r="S47" s="155">
        <f t="shared" si="8"/>
        <v>0</v>
      </c>
      <c r="T47" s="23"/>
      <c r="U47" s="155">
        <f t="shared" si="9"/>
        <v>0</v>
      </c>
      <c r="V47" s="23"/>
      <c r="W47" s="155">
        <f t="shared" si="10"/>
        <v>0</v>
      </c>
      <c r="X47" s="23"/>
      <c r="Y47" s="155">
        <f t="shared" si="11"/>
        <v>0</v>
      </c>
      <c r="Z47" s="23"/>
      <c r="AA47" s="155">
        <f t="shared" si="12"/>
        <v>0</v>
      </c>
      <c r="AB47" s="23"/>
      <c r="AC47" s="155">
        <f t="shared" si="13"/>
        <v>0</v>
      </c>
      <c r="AD47" s="23"/>
      <c r="AE47" s="155">
        <f t="shared" si="14"/>
        <v>0</v>
      </c>
      <c r="AF47" s="256">
        <f t="shared" si="15"/>
        <v>0</v>
      </c>
      <c r="AG47" s="155">
        <f t="shared" si="16"/>
        <v>0</v>
      </c>
    </row>
    <row r="48" spans="1:33" s="169" customFormat="1" hidden="1" outlineLevel="1" x14ac:dyDescent="0.25">
      <c r="A48" s="20" t="s">
        <v>500</v>
      </c>
      <c r="B48" s="279"/>
      <c r="C48" s="156"/>
      <c r="D48" s="21">
        <f>IF(C48&gt;0,VLOOKUP(C48,Oppslag!B:C,2,FALSE),0)</f>
        <v>0</v>
      </c>
      <c r="E48" s="20"/>
      <c r="F48" s="20"/>
      <c r="G48" s="156"/>
      <c r="H48" s="23"/>
      <c r="I48" s="155">
        <f t="shared" si="17"/>
        <v>0</v>
      </c>
      <c r="J48" s="23"/>
      <c r="K48" s="155">
        <f t="shared" si="4"/>
        <v>0</v>
      </c>
      <c r="L48" s="23"/>
      <c r="M48" s="155">
        <f t="shared" si="5"/>
        <v>0</v>
      </c>
      <c r="N48" s="23"/>
      <c r="O48" s="155">
        <f t="shared" si="6"/>
        <v>0</v>
      </c>
      <c r="P48" s="23"/>
      <c r="Q48" s="155">
        <f t="shared" si="7"/>
        <v>0</v>
      </c>
      <c r="R48" s="23"/>
      <c r="S48" s="155">
        <f t="shared" si="8"/>
        <v>0</v>
      </c>
      <c r="T48" s="23"/>
      <c r="U48" s="155">
        <f t="shared" si="9"/>
        <v>0</v>
      </c>
      <c r="V48" s="23"/>
      <c r="W48" s="155">
        <f t="shared" si="10"/>
        <v>0</v>
      </c>
      <c r="X48" s="23"/>
      <c r="Y48" s="155">
        <f t="shared" si="11"/>
        <v>0</v>
      </c>
      <c r="Z48" s="23"/>
      <c r="AA48" s="155">
        <f t="shared" si="12"/>
        <v>0</v>
      </c>
      <c r="AB48" s="23"/>
      <c r="AC48" s="155">
        <f t="shared" si="13"/>
        <v>0</v>
      </c>
      <c r="AD48" s="23"/>
      <c r="AE48" s="155">
        <f t="shared" si="14"/>
        <v>0</v>
      </c>
      <c r="AF48" s="256">
        <f t="shared" si="15"/>
        <v>0</v>
      </c>
      <c r="AG48" s="155">
        <f t="shared" si="16"/>
        <v>0</v>
      </c>
    </row>
    <row r="49" spans="1:33" s="169" customFormat="1" hidden="1" outlineLevel="1" x14ac:dyDescent="0.25">
      <c r="A49" s="20" t="s">
        <v>501</v>
      </c>
      <c r="B49" s="279"/>
      <c r="C49" s="156"/>
      <c r="D49" s="21">
        <f>IF(C49&gt;0,VLOOKUP(C49,Oppslag!B:C,2,FALSE),0)</f>
        <v>0</v>
      </c>
      <c r="E49" s="20"/>
      <c r="F49" s="20"/>
      <c r="G49" s="156"/>
      <c r="H49" s="23"/>
      <c r="I49" s="155">
        <f t="shared" ref="I49:I51" si="18">D130+E130</f>
        <v>0</v>
      </c>
      <c r="J49" s="23"/>
      <c r="K49" s="155">
        <f t="shared" si="4"/>
        <v>0</v>
      </c>
      <c r="L49" s="23"/>
      <c r="M49" s="155">
        <f t="shared" si="5"/>
        <v>0</v>
      </c>
      <c r="N49" s="23"/>
      <c r="O49" s="155">
        <f t="shared" si="6"/>
        <v>0</v>
      </c>
      <c r="P49" s="23"/>
      <c r="Q49" s="155">
        <f t="shared" si="7"/>
        <v>0</v>
      </c>
      <c r="R49" s="23"/>
      <c r="S49" s="155">
        <f t="shared" si="8"/>
        <v>0</v>
      </c>
      <c r="T49" s="23"/>
      <c r="U49" s="155">
        <f t="shared" si="9"/>
        <v>0</v>
      </c>
      <c r="V49" s="23"/>
      <c r="W49" s="155">
        <f t="shared" si="10"/>
        <v>0</v>
      </c>
      <c r="X49" s="23"/>
      <c r="Y49" s="155">
        <f t="shared" si="11"/>
        <v>0</v>
      </c>
      <c r="Z49" s="23"/>
      <c r="AA49" s="155">
        <f t="shared" si="12"/>
        <v>0</v>
      </c>
      <c r="AB49" s="23"/>
      <c r="AC49" s="155">
        <f t="shared" si="13"/>
        <v>0</v>
      </c>
      <c r="AD49" s="23"/>
      <c r="AE49" s="155">
        <f t="shared" si="14"/>
        <v>0</v>
      </c>
      <c r="AF49" s="256">
        <f t="shared" si="15"/>
        <v>0</v>
      </c>
      <c r="AG49" s="155">
        <f t="shared" si="16"/>
        <v>0</v>
      </c>
    </row>
    <row r="50" spans="1:33" s="169" customFormat="1" hidden="1" outlineLevel="1" x14ac:dyDescent="0.25">
      <c r="A50" s="20" t="s">
        <v>502</v>
      </c>
      <c r="B50" s="279"/>
      <c r="C50" s="156"/>
      <c r="D50" s="21">
        <f>IF(C50&gt;0,VLOOKUP(C50,Oppslag!B:C,2,FALSE),0)</f>
        <v>0</v>
      </c>
      <c r="E50" s="20"/>
      <c r="F50" s="20"/>
      <c r="G50" s="156"/>
      <c r="H50" s="23"/>
      <c r="I50" s="155">
        <f t="shared" si="18"/>
        <v>0</v>
      </c>
      <c r="J50" s="23"/>
      <c r="K50" s="155">
        <f t="shared" si="4"/>
        <v>0</v>
      </c>
      <c r="L50" s="23"/>
      <c r="M50" s="155">
        <f t="shared" si="5"/>
        <v>0</v>
      </c>
      <c r="N50" s="23"/>
      <c r="O50" s="155">
        <f t="shared" si="6"/>
        <v>0</v>
      </c>
      <c r="P50" s="23"/>
      <c r="Q50" s="155">
        <f t="shared" si="7"/>
        <v>0</v>
      </c>
      <c r="R50" s="23"/>
      <c r="S50" s="155">
        <f t="shared" si="8"/>
        <v>0</v>
      </c>
      <c r="T50" s="23"/>
      <c r="U50" s="155">
        <f t="shared" si="9"/>
        <v>0</v>
      </c>
      <c r="V50" s="23"/>
      <c r="W50" s="155">
        <f t="shared" si="10"/>
        <v>0</v>
      </c>
      <c r="X50" s="23"/>
      <c r="Y50" s="155">
        <f t="shared" si="11"/>
        <v>0</v>
      </c>
      <c r="Z50" s="23"/>
      <c r="AA50" s="155">
        <f t="shared" si="12"/>
        <v>0</v>
      </c>
      <c r="AB50" s="23"/>
      <c r="AC50" s="155">
        <f t="shared" si="13"/>
        <v>0</v>
      </c>
      <c r="AD50" s="23"/>
      <c r="AE50" s="155">
        <f t="shared" si="14"/>
        <v>0</v>
      </c>
      <c r="AF50" s="256">
        <f t="shared" si="15"/>
        <v>0</v>
      </c>
      <c r="AG50" s="155">
        <f t="shared" si="16"/>
        <v>0</v>
      </c>
    </row>
    <row r="51" spans="1:33" s="169" customFormat="1" hidden="1" outlineLevel="1" x14ac:dyDescent="0.25">
      <c r="A51" s="20" t="s">
        <v>503</v>
      </c>
      <c r="B51" s="279"/>
      <c r="C51" s="156"/>
      <c r="D51" s="21">
        <f>IF(C51&gt;0,VLOOKUP(C51,Oppslag!B:C,2,FALSE),0)</f>
        <v>0</v>
      </c>
      <c r="E51" s="20"/>
      <c r="F51" s="20"/>
      <c r="G51" s="156"/>
      <c r="H51" s="23"/>
      <c r="I51" s="155">
        <f t="shared" si="18"/>
        <v>0</v>
      </c>
      <c r="J51" s="23"/>
      <c r="K51" s="155">
        <f t="shared" si="4"/>
        <v>0</v>
      </c>
      <c r="L51" s="23"/>
      <c r="M51" s="155">
        <f t="shared" si="5"/>
        <v>0</v>
      </c>
      <c r="N51" s="23"/>
      <c r="O51" s="155">
        <f t="shared" si="6"/>
        <v>0</v>
      </c>
      <c r="P51" s="23"/>
      <c r="Q51" s="155">
        <f t="shared" si="7"/>
        <v>0</v>
      </c>
      <c r="R51" s="23"/>
      <c r="S51" s="155">
        <f t="shared" si="8"/>
        <v>0</v>
      </c>
      <c r="T51" s="23"/>
      <c r="U51" s="155">
        <f t="shared" si="9"/>
        <v>0</v>
      </c>
      <c r="V51" s="23"/>
      <c r="W51" s="155">
        <f t="shared" si="10"/>
        <v>0</v>
      </c>
      <c r="X51" s="23"/>
      <c r="Y51" s="155">
        <f t="shared" si="11"/>
        <v>0</v>
      </c>
      <c r="Z51" s="23"/>
      <c r="AA51" s="155">
        <f t="shared" si="12"/>
        <v>0</v>
      </c>
      <c r="AB51" s="23"/>
      <c r="AC51" s="155">
        <f t="shared" si="13"/>
        <v>0</v>
      </c>
      <c r="AD51" s="23"/>
      <c r="AE51" s="155">
        <f t="shared" si="14"/>
        <v>0</v>
      </c>
      <c r="AF51" s="256">
        <f t="shared" si="15"/>
        <v>0</v>
      </c>
      <c r="AG51" s="155">
        <f t="shared" si="16"/>
        <v>0</v>
      </c>
    </row>
    <row r="52" spans="1:33" collapsed="1" x14ac:dyDescent="0.25"/>
    <row r="53" spans="1:33" ht="15.75" thickBot="1" x14ac:dyDescent="0.3"/>
    <row r="54" spans="1:33" x14ac:dyDescent="0.25">
      <c r="A54" s="322" t="s">
        <v>128</v>
      </c>
      <c r="B54" s="323"/>
      <c r="C54" s="323"/>
      <c r="D54" s="323"/>
      <c r="E54" s="323"/>
      <c r="F54" s="323"/>
      <c r="G54" s="323"/>
      <c r="H54" s="323"/>
      <c r="I54" s="323"/>
      <c r="J54" s="323"/>
      <c r="K54" s="323"/>
      <c r="L54" s="323"/>
      <c r="M54" s="323"/>
      <c r="N54" s="323"/>
      <c r="O54" s="323"/>
      <c r="P54" s="324"/>
    </row>
    <row r="55" spans="1:33" x14ac:dyDescent="0.25">
      <c r="A55" s="38"/>
      <c r="B55" s="1"/>
      <c r="C55" s="131"/>
      <c r="D55" s="25">
        <f>H10</f>
        <v>2019</v>
      </c>
      <c r="E55" s="25">
        <f>J10</f>
        <v>2020</v>
      </c>
      <c r="F55" s="25">
        <f>L10</f>
        <v>2021</v>
      </c>
      <c r="G55" s="25">
        <f>N10</f>
        <v>2022</v>
      </c>
      <c r="H55" s="25">
        <f>P10</f>
        <v>2023</v>
      </c>
      <c r="I55" s="25">
        <f>R10</f>
        <v>2024</v>
      </c>
      <c r="J55" s="25">
        <f>T10</f>
        <v>2025</v>
      </c>
      <c r="K55" s="25">
        <f>V10</f>
        <v>2026</v>
      </c>
      <c r="L55" s="25">
        <f>X10</f>
        <v>2027</v>
      </c>
      <c r="M55" s="25">
        <f>Z10</f>
        <v>2028</v>
      </c>
      <c r="N55" s="25">
        <f>AB10</f>
        <v>2029</v>
      </c>
      <c r="O55" s="25">
        <f>AD10</f>
        <v>2030</v>
      </c>
      <c r="P55" s="29" t="s">
        <v>79</v>
      </c>
    </row>
    <row r="56" spans="1:33" x14ac:dyDescent="0.25">
      <c r="A56" s="24" t="s">
        <v>423</v>
      </c>
      <c r="B56" s="131"/>
      <c r="C56" s="1"/>
      <c r="D56" s="32">
        <f>SUMIF($A$71:$A$110,"nei",D71:D110)</f>
        <v>0</v>
      </c>
      <c r="E56" s="32">
        <f>SUMIF($A$71:$A$110,"nei",F71:F110)</f>
        <v>0</v>
      </c>
      <c r="F56" s="32">
        <f>SUMIF($A$71:$A$110,"nei",H71:H110)</f>
        <v>0</v>
      </c>
      <c r="G56" s="32">
        <f>SUMIF($A$71:$A$110,"nei",J71:J110)</f>
        <v>0</v>
      </c>
      <c r="H56" s="32">
        <f>SUMIF($A$71:$A$110,"nei",L71:L110)</f>
        <v>0</v>
      </c>
      <c r="I56" s="32">
        <f>SUMIF($A$71:$A$110,"nei",N71:N110)</f>
        <v>0</v>
      </c>
      <c r="J56" s="32">
        <f>SUMIF($A$71:$A$110,"nei",P71:P110)</f>
        <v>0</v>
      </c>
      <c r="K56" s="32">
        <f>SUMIF($A$71:$A$110,"nei",R71:R110)</f>
        <v>0</v>
      </c>
      <c r="L56" s="32">
        <f>SUMIF($A$71:$A$110,"nei",T71:T110)</f>
        <v>0</v>
      </c>
      <c r="M56" s="32">
        <f>SUMIF($A$71:$A$110,"nei",V71:V110)</f>
        <v>0</v>
      </c>
      <c r="N56" s="32">
        <f>SUMIF($A$71:$A$110,"nei",X71:X110)</f>
        <v>0</v>
      </c>
      <c r="O56" s="32">
        <f>SUMIF($A$71:$A$110,"nei",Z71:Z110)</f>
        <v>0</v>
      </c>
      <c r="P56" s="34">
        <f>SUM(D56:O56)</f>
        <v>0</v>
      </c>
    </row>
    <row r="57" spans="1:33" x14ac:dyDescent="0.25">
      <c r="A57" s="24" t="s">
        <v>424</v>
      </c>
      <c r="B57" s="131"/>
      <c r="C57" s="1"/>
      <c r="D57" s="32">
        <f>SUMIF($A$71:$A$110,"ja",D71:D110)</f>
        <v>615904.88861192309</v>
      </c>
      <c r="E57" s="32">
        <f>SUMIF($A$71:$A$110,"ja",F71:F110)</f>
        <v>634382.03527028079</v>
      </c>
      <c r="F57" s="32">
        <f>SUMIF($A$71:$A$110,"ja",H71:H110)</f>
        <v>2030976.37111344</v>
      </c>
      <c r="G57" s="32">
        <f>SUMIF($A$71:$A$110,"ja",J71:J110)</f>
        <v>1418889.7610286027</v>
      </c>
      <c r="H57" s="32">
        <f>SUMIF($A$71:$A$110,"ja",L71:L110)</f>
        <v>693206.37825478835</v>
      </c>
      <c r="I57" s="32">
        <f>SUMIF($A$71:$A$110,"ja",N71:N110)</f>
        <v>0</v>
      </c>
      <c r="J57" s="32">
        <f>SUMIF($A$71:$A$110,"ja",P71:P110)</f>
        <v>0</v>
      </c>
      <c r="K57" s="32">
        <f>SUMIF($A$71:$A$110,"ja",R71:R110)</f>
        <v>0</v>
      </c>
      <c r="L57" s="32">
        <f>SUMIF($A$71:$A$110,"ja",T71:T110)</f>
        <v>0</v>
      </c>
      <c r="M57" s="32">
        <f>SUMIF($A$71:$A$110,"ja",V71:V110)</f>
        <v>0</v>
      </c>
      <c r="N57" s="32">
        <f>SUMIF($A$71:$A$110,"ja",X71:X110)</f>
        <v>0</v>
      </c>
      <c r="O57" s="32">
        <f>SUMIF($A$71:$A$110,"ja",Z71:Z110)</f>
        <v>0</v>
      </c>
      <c r="P57" s="34">
        <f>SUM(D57:O57)</f>
        <v>5393359.4342790348</v>
      </c>
    </row>
    <row r="58" spans="1:33" x14ac:dyDescent="0.25">
      <c r="A58" s="24" t="s">
        <v>125</v>
      </c>
      <c r="B58" s="131"/>
      <c r="C58" s="1"/>
      <c r="D58" s="32">
        <f>SUM(E71:E110)</f>
        <v>437292.47091446538</v>
      </c>
      <c r="E58" s="32">
        <f>SUM(G71:G110)</f>
        <v>450411.24504189932</v>
      </c>
      <c r="F58" s="32">
        <f>SUM(I71:I110)</f>
        <v>1376819.7794294429</v>
      </c>
      <c r="G58" s="32">
        <f>SUM(K71:K110)</f>
        <v>940283.08294737525</v>
      </c>
      <c r="H58" s="32">
        <f>SUM(M71:M110)</f>
        <v>492176.52856089972</v>
      </c>
      <c r="I58" s="32">
        <f>SUM(O71:O110)</f>
        <v>0</v>
      </c>
      <c r="J58" s="32">
        <f>SUM(Q71:Q110)</f>
        <v>0</v>
      </c>
      <c r="K58" s="32">
        <f>SUM(S71:S110)</f>
        <v>0</v>
      </c>
      <c r="L58" s="32">
        <f>SUM(U71:U110)</f>
        <v>0</v>
      </c>
      <c r="M58" s="32">
        <f>SUM(W71:W110)</f>
        <v>0</v>
      </c>
      <c r="N58" s="32">
        <f>SUM(Y71:Y110)</f>
        <v>0</v>
      </c>
      <c r="O58" s="32">
        <f>SUM(AA71:AA110)</f>
        <v>0</v>
      </c>
      <c r="P58" s="34">
        <f>SUM(D58:O58)</f>
        <v>3696983.1068940829</v>
      </c>
    </row>
    <row r="59" spans="1:33" ht="15.75" thickBot="1" x14ac:dyDescent="0.3">
      <c r="A59" s="26" t="s">
        <v>127</v>
      </c>
      <c r="B59" s="243"/>
      <c r="C59" s="62"/>
      <c r="D59" s="33">
        <f>SUM(D56:D58)</f>
        <v>1053197.3595263883</v>
      </c>
      <c r="E59" s="33">
        <f>SUM(E56:E58)</f>
        <v>1084793.2803121801</v>
      </c>
      <c r="F59" s="33">
        <f t="shared" ref="F59:M59" si="19">SUM(F56:F58)</f>
        <v>3407796.1505428832</v>
      </c>
      <c r="G59" s="33">
        <f t="shared" si="19"/>
        <v>2359172.843975978</v>
      </c>
      <c r="H59" s="33">
        <f t="shared" si="19"/>
        <v>1185382.9068156881</v>
      </c>
      <c r="I59" s="33">
        <f t="shared" si="19"/>
        <v>0</v>
      </c>
      <c r="J59" s="33">
        <f t="shared" si="19"/>
        <v>0</v>
      </c>
      <c r="K59" s="33">
        <f t="shared" si="19"/>
        <v>0</v>
      </c>
      <c r="L59" s="33">
        <f t="shared" si="19"/>
        <v>0</v>
      </c>
      <c r="M59" s="33">
        <f t="shared" si="19"/>
        <v>0</v>
      </c>
      <c r="N59" s="33">
        <f t="shared" ref="N59:O59" si="20">SUM(N56:N58)</f>
        <v>0</v>
      </c>
      <c r="O59" s="33">
        <f t="shared" si="20"/>
        <v>0</v>
      </c>
      <c r="P59" s="35">
        <f>SUM(D59:O59)</f>
        <v>9090342.5411731191</v>
      </c>
    </row>
    <row r="60" spans="1:33" ht="15.75" thickBot="1" x14ac:dyDescent="0.3"/>
    <row r="61" spans="1:33" x14ac:dyDescent="0.25">
      <c r="C61" s="203" t="s">
        <v>367</v>
      </c>
      <c r="D61" s="204"/>
      <c r="E61" s="204"/>
      <c r="F61" s="204"/>
      <c r="G61" s="204"/>
      <c r="H61" s="204"/>
      <c r="I61" s="204"/>
      <c r="J61" s="204"/>
      <c r="K61" s="204"/>
      <c r="L61" s="204"/>
      <c r="M61" s="204"/>
      <c r="N61" s="204"/>
      <c r="O61" s="204"/>
      <c r="P61" s="205"/>
    </row>
    <row r="62" spans="1:33" x14ac:dyDescent="0.25">
      <c r="C62" s="24"/>
      <c r="D62" s="25">
        <f>H10</f>
        <v>2019</v>
      </c>
      <c r="E62" s="25">
        <f t="shared" ref="E62:M62" si="21">E55</f>
        <v>2020</v>
      </c>
      <c r="F62" s="25">
        <f t="shared" si="21"/>
        <v>2021</v>
      </c>
      <c r="G62" s="25">
        <f t="shared" si="21"/>
        <v>2022</v>
      </c>
      <c r="H62" s="25">
        <f t="shared" si="21"/>
        <v>2023</v>
      </c>
      <c r="I62" s="25">
        <f t="shared" si="21"/>
        <v>2024</v>
      </c>
      <c r="J62" s="25">
        <f t="shared" si="21"/>
        <v>2025</v>
      </c>
      <c r="K62" s="25">
        <f t="shared" si="21"/>
        <v>2026</v>
      </c>
      <c r="L62" s="25">
        <f t="shared" si="21"/>
        <v>2027</v>
      </c>
      <c r="M62" s="25">
        <f t="shared" si="21"/>
        <v>2028</v>
      </c>
      <c r="N62" s="25">
        <f t="shared" ref="N62:O62" si="22">N55</f>
        <v>2029</v>
      </c>
      <c r="O62" s="25">
        <f t="shared" si="22"/>
        <v>2030</v>
      </c>
      <c r="P62" s="29" t="s">
        <v>79</v>
      </c>
    </row>
    <row r="63" spans="1:33" x14ac:dyDescent="0.25">
      <c r="C63" s="24" t="s">
        <v>368</v>
      </c>
      <c r="D63" s="173">
        <f>SUMIFS($H$12:$H$51,$C$12:$C$51,"Stipendiat",$F$12:$F$51,"Ja",$G$12:$G$51,"År")+(SUMIFS($H$12:$H$51,$C$12:$C$51,"Stipendiat",$F$12:$F$51,"Ja",$G$12:$G$51,"Måneder"))/12</f>
        <v>1</v>
      </c>
      <c r="E63" s="173">
        <f>SUMIFS($J$12:$J$51,$C$12:$C$51,"Stipendiat",$F$12:$F$51,"Ja",$G$12:$G$51,"År")+(SUMIFS($J$12:$J$51,$C$12:$C$51,"Stipendiat",$F$12:$F$51,"Ja",$G$12:$G$51,"Måneder"))/12</f>
        <v>1</v>
      </c>
      <c r="F63" s="173">
        <f>SUMIFS($L$12:$L$51,$C$12:$C$51,"Stipendiat",$F$12:$F$51,"Ja",$G$12:$G$51,"År")+(SUMIFS($L$12:$L$51,$C$12:$C$51,"Stipendiat",$F$12:$F$51,"Ja",$G$12:$G$51,"Måneder"))/12</f>
        <v>2</v>
      </c>
      <c r="G63" s="173">
        <f>SUMIFS($N$12:$N$51,$C$12:$C$51,"Stipendiat",$F$12:$F$51,"Ja",$G$12:$G$51,"År")+(SUMIFS($N$12:$N$51,$C$12:$C$51,"Stipendiat",$F$12:$F$51,"Ja",$G$12:$G$51,"Måneder"))/12</f>
        <v>1</v>
      </c>
      <c r="H63" s="173">
        <f>SUMIFS($P$12:$P$51,$C$12:$C$51,"Stipendiat",$F$12:$F$51,"Ja",$G$12:$G$51,"År")+(SUMIFS($P$12:$P$51,$C$12:$C$51,"Stipendiat",$F$12:$F$51,"Ja",$G$12:$G$51,"Måneder"))/12</f>
        <v>1</v>
      </c>
      <c r="I63" s="173">
        <f>SUMIFS($R$12:$R$51,$C$12:$C$51,"Stipendiat",$F$12:$F$51,"Ja",$G$12:$G$51,"År")+(SUMIFS($R$12:$R$51,$C$12:$C$51,"Stipendiat",$F$12:$F$51,"Ja",$G$12:$G$51,"Måneder"))/12</f>
        <v>0</v>
      </c>
      <c r="J63" s="173">
        <f>SUMIFS($T$12:$T$51,$C$12:$C$51,"Stipendiat",$F$12:$F$51,"Ja",$G$12:$G$51,"År")+(SUMIFS($T$12:$T$51,$C$12:$C$51,"Stipendiat",$F$12:$F$51,"Ja",$G$12:$G$51,"Måneder"))/12</f>
        <v>0</v>
      </c>
      <c r="K63" s="173">
        <f>SUMIFS($V$12:$V$51,$C$12:$C$51,"Stipendiat",$F$12:$F$51,"Ja",$G$12:$G$51,"År")+(SUMIFS($V$12:$V$51,$C$12:$C$51,"Stipendiat",$F$12:$F$51,"Ja",$G$12:$G$51,"Måneder"))/12</f>
        <v>0</v>
      </c>
      <c r="L63" s="173">
        <f>SUMIFS($X$12:$X$51,$C$12:$C$51,"Stipendiat",$F$12:$F$51,"Ja",$G$12:$G$51,"År")+(SUMIFS($X$12:$X$51,$C$12:$C$51,"Stipendiat",$F$12:$F$51,"Ja",$G$12:$G$51,"Måneder"))/12</f>
        <v>0</v>
      </c>
      <c r="M63" s="173">
        <f>SUMIFS($Z$12:$Z$51,$C$12:$C$51,"Stipendiat",$F$12:$F$51,"Ja",$G$12:$G$51,"År")+(SUMIFS($Z$12:$Z$51,$C$12:$C$51,"Stipendiat",$F$12:$F$51,"Ja",$G$12:$G$51,"Måneder"))/12</f>
        <v>0</v>
      </c>
      <c r="N63" s="173">
        <f>SUMIFS($AB$12:$AB$51,$C$12:$C$51,"Stipendiat",$F$12:$F$51,"Ja",$G$12:$G$51,"År")+(SUMIFS($AB$12:$AB$51,$C$12:$C$51,"Stipendiat",$F$12:$F$51,"Ja",$G$12:$G$51,"Måneder"))/12</f>
        <v>0</v>
      </c>
      <c r="O63" s="173">
        <f>SUMIFS($AD$12:$AD$51,$C$12:$C$51,"Stipendiat",$F$12:$F$51,"Ja",$G$12:$G$51,"År")+(SUMIFS($AD$12:$AD$51,$C$12:$C$51,"Stipendiat",$F$12:$F$51,"Ja",$G$12:$G$51,"Måneder"))/12</f>
        <v>0</v>
      </c>
      <c r="P63" s="176">
        <f>SUM(D63:O63)</f>
        <v>6</v>
      </c>
    </row>
    <row r="64" spans="1:33" x14ac:dyDescent="0.25">
      <c r="C64" s="24" t="s">
        <v>39</v>
      </c>
      <c r="D64" s="173">
        <f>SUMIFS($H$12:$H$51,$C$12:$C$51,"Postdoktor",$F$12:$F$51,"Ja",$G$12:$G$51,"År")+(SUMIFS($H$12:$H$51,$C$12:$C$51,"Postdoktor",$F$12:$F$51,"Ja",$G$12:$G$51,"Måneder"))/12</f>
        <v>0</v>
      </c>
      <c r="E64" s="173">
        <f>SUMIFS($J$12:$J$51,$C$12:$C$51,"Postdoktor",$F$12:$F$51,"Ja",$G$12:$G$51,"År")+(SUMIFS($J$12:$J$51,$C$12:$C$51,"Postdoktor",$F$12:$F$51,"Ja",$G$12:$G$51,"Måneder"))/12</f>
        <v>0</v>
      </c>
      <c r="F64" s="173">
        <f>SUMIFS($L$12:$L$51,$C$12:$C$51,"Postdoktor",$F$12:$F$51,"Ja",$G$12:$G$51,"År")+(SUMIFS($L$12:$L$51,$C$12:$C$51,"Postdoktor",$F$12:$F$51,"Ja",$G$12:$G$51,"Måneder"))/12</f>
        <v>1</v>
      </c>
      <c r="G64" s="173">
        <f>SUMIFS($N$12:$N$51,$C$12:$C$51,"Postdoktor",$F$12:$F$51,"Ja",$G$12:$G$51,"År")+(SUMIFS($N$12:$N$51,$C$12:$C$51,"Postdoktor",$F$12:$F$51,"Ja",$G$12:$G$51,"Måneder"))/12</f>
        <v>1</v>
      </c>
      <c r="H64" s="173">
        <f>SUMIFS($P$12:$P$51,$C$12:$C$51,"Postdoktor",$F$12:$F$51,"Ja",$G$12:$G$51,"År")+(SUMIFS($P$12:$P$51,$C$12:$C$51,"Postdoktor",$F$12:$F$51,"Ja",$G$12:$G$51,"Måneder"))/12</f>
        <v>0</v>
      </c>
      <c r="I64" s="173">
        <f>SUMIFS($R$12:$R$51,$C$12:$C$51,"Postdoktor",$F$12:$F$51,"Ja",$G$12:$G$51,"År")+(SUMIFS($R$12:$R$51,$C$12:$C$51,"Postdoktor",$F$12:$F$51,"Ja",$G$12:$G$51,"Måneder"))/12</f>
        <v>0</v>
      </c>
      <c r="J64" s="173">
        <f>SUMIFS($T$12:$T$51,$C$12:$C$51,"Postdoktor",$F$12:$F$51,"Ja",$G$12:$G$51,"År")+(SUMIFS($T$12:$T$51,$C$12:$C$51,"Postdoktor",$F$12:$F$51,"Ja",$G$12:$G$51,"Måneder"))/12</f>
        <v>0</v>
      </c>
      <c r="K64" s="173">
        <f>SUMIFS($V$12:$V$51,$C$12:$C$51,"Postdoktor",$F$12:$F$51,"Ja",$G$12:$G$51,"År")+(SUMIFS($V$12:$V$51,$C$12:$C$51,"Postdoktor",$F$12:$F$51,"Ja",$G$12:$G$51,"Måneder"))/12</f>
        <v>0</v>
      </c>
      <c r="L64" s="173">
        <f>SUMIFS($X$12:$X$51,$C$12:$C$51,"Postdoktor",$F$12:$F$51,"Ja",$G$12:$G$51,"År")+(SUMIFS($X$12:$X$51,$C$12:$C$51,"Postdoktor",$F$12:$F$51,"Ja",$G$12:$G$51,"Måneder"))/12</f>
        <v>0</v>
      </c>
      <c r="M64" s="173">
        <f>SUMIFS($Z$12:$Z$51,$C$12:$C$51,"Postdoktor",$F$12:$F$51,"Ja",$G$12:$G$51,"År")+(SUMIFS($Z$12:$Z$51,$C$12:$C$51,"Postdoktor",$F$12:$F$51,"Ja",$G$12:$G$51,"Måneder"))/12</f>
        <v>0</v>
      </c>
      <c r="N64" s="173">
        <f>SUMIFS($AB$12:$AB$51,$C$12:$C$51,"Postdoktor",$F$12:$F$51,"Ja",$G$12:$G$51,"År")+(SUMIFS($AB$12:$AB$51,$C$12:$C$51,"Postdoktor",$F$12:$F$51,"Ja",$G$12:$G$51,"Måneder"))/12</f>
        <v>0</v>
      </c>
      <c r="O64" s="173">
        <f>SUMIFS($AD$12:$AD$51,$C$12:$C$51,"Postdoktor",$F$12:$F$51,"Ja",$G$12:$G$51,"År")+(SUMIFS($AD$12:$AD$51,$C$12:$C$51,"Postdoktor",$F$12:$F$51,"Ja",$G$12:$G$51,"Måneder"))/12</f>
        <v>0</v>
      </c>
      <c r="P64" s="176">
        <f t="shared" ref="P64:P65" si="23">SUM(D64:O64)</f>
        <v>2</v>
      </c>
    </row>
    <row r="65" spans="1:28" x14ac:dyDescent="0.25">
      <c r="C65" s="24" t="s">
        <v>369</v>
      </c>
      <c r="D65" s="173">
        <f>SUMIFS($H$12:$H$51,$C$12:$C$51,"&lt;&gt;Stipendiat",$C$12:$C$51,"&lt;&gt;Postdoktor",$F$12:$F$51,"Ja",$G$12:$G$51,"År")+(SUMIFS($H$12:$H$51,$C$12:$C$51,"&lt;&gt;Stipendiat",$C$12:$C$51,"&lt;&gt;Postdoktor",$F$12:$F$51,"Ja",$G$12:$G$51,"Måneder"))/12</f>
        <v>0</v>
      </c>
      <c r="E65" s="173">
        <f>SUMIFS($J$12:$J$51,$C$12:$C$51,"&lt;&gt;Stipendiat",$C$12:$C$51,"&lt;&gt;Postdoktor",$F$12:$F$51,"Ja",$G$12:$G$51,"År")+(SUMIFS($J$12:$J$51,$C$12:$C$51,"&lt;&gt;Stipendiat",$C$12:$C$51,"&lt;&gt;Postdoktor",$F$12:$F$51,"Ja",$G$12:$G$51,"Måneder"))/12</f>
        <v>0</v>
      </c>
      <c r="F65" s="173">
        <f>SUMIFS($L$12:$L$51,$C$12:$C$51,"&lt;&gt;Stipendiat",$C$12:$C$51,"&lt;&gt;Postdoktor",$F$12:$F$51,"Ja",$G$12:$G$51,"År")+(SUMIFS($L$12:$L$51,$C$12:$C$51,"&lt;&gt;Stipendiat",$C$12:$C$51,"&lt;&gt;Postdoktor",$F$12:$F$51,"Ja",$G$12:$G$51,"Måneder"))/12</f>
        <v>0</v>
      </c>
      <c r="G65" s="173">
        <f>SUMIFS($N$12:$N$51,$C$12:$C$51,"&lt;&gt;Stipendiat",$C$12:$C$51,"&lt;&gt;Postdoktor",$F$12:$F$51,"Ja",$G$12:$G$51,"År")+(SUMIFS($N$12:$N$51,$C$12:$C$51,"&lt;&gt;Stipendiat",$C$12:$C$51,"&lt;&gt;Postdoktor",$F$12:$F$51,"Ja",$G$12:$G$51,"Måneder"))/12</f>
        <v>0</v>
      </c>
      <c r="H65" s="173">
        <f>SUMIFS($P$12:$P$51,$C$12:$C$51,"&lt;&gt;Stipendiat",$C$12:$C$51,"&lt;&gt;Postdoktor",$F$12:$F$51,"Ja",$G$12:$G$51,"År")+(SUMIFS($P$12:$P$51,$C$12:$C$51,"&lt;&gt;Stipendiat",$C$12:$C$51,"&lt;&gt;Postdoktor",$F$12:$F$51,"Ja",$G$12:$G$51,"Måneder"))/12</f>
        <v>0</v>
      </c>
      <c r="I65" s="173">
        <f>SUMIFS($R$12:$R$51,$C$12:$C$51,"&lt;&gt;Stipendiat",$C$12:$C$51,"&lt;&gt;Postdoktor",$F$12:$F$51,"Ja",$G$12:$G$51,"År")+(SUMIFS($R$12:$R$51,$C$12:$C$51,"&lt;&gt;Stipendiat",$C$12:$C$51,"&lt;&gt;Postdoktor",$F$12:$F$51,"Ja",$G$12:$G$51,"Måneder"))/12</f>
        <v>0</v>
      </c>
      <c r="J65" s="173">
        <f>SUMIFS($T$12:$T$51,$C$12:$C$51,"&lt;&gt;Stipendiat",$C$12:$C$51,"&lt;&gt;Postdoktor",$F$12:$F$51,"Ja",$G$12:$G$51,"År")+(SUMIFS($T$12:$T$51,$C$12:$C$51,"&lt;&gt;Stipendiat",$C$12:$C$51,"&lt;&gt;Postdoktor",$F$12:$F$51,"Ja",$G$12:$G$51,"Måneder"))/12</f>
        <v>0</v>
      </c>
      <c r="K65" s="173">
        <f>SUMIFS($V$12:$V$51,$C$12:$C$51,"&lt;&gt;Stipendiat",$C$12:$C$51,"&lt;&gt;Postdoktor",$F$12:$F$51,"Ja",$G$12:$G$51,"År")+(SUMIFS($V$12:$V$51,$C$12:$C$51,"&lt;&gt;Stipendiat",$C$12:$C$51,"&lt;&gt;Postdoktor",$F$12:$F$51,"Ja",$G$12:$G$51,"Måneder"))/12</f>
        <v>0</v>
      </c>
      <c r="L65" s="173">
        <f>SUMIFS($X$12:$X$51,$C$12:$C$51,"&lt;&gt;Stipendiat",$C$12:$C$51,"&lt;&gt;Postdoktor",$F$12:$F$51,"Ja",$G$12:$G$51,"År")+(SUMIFS($X$12:$X$51,$C$12:$C$51,"&lt;&gt;Stipendiat",$C$12:$C$51,"&lt;&gt;Postdoktor",$F$12:$F$51,"Ja",$G$12:$G$51,"Måneder"))/12</f>
        <v>0</v>
      </c>
      <c r="M65" s="173">
        <f>SUMIFS($Z$12:$Z$51,$C$12:$C$51,"&lt;&gt;Stipendiat",$C$12:$C$51,"&lt;&gt;Postdoktor",$F$12:$F$51,"Ja",$G$12:$G$51,"År")+(SUMIFS($Z$12:$Z$51,$C$12:$C$51,"&lt;&gt;Stipendiat",$C$12:$C$51,"&lt;&gt;Postdoktor",$F$12:$F$51,"Ja",$G$12:$G$51,"Måneder"))/12</f>
        <v>0</v>
      </c>
      <c r="N65" s="173">
        <f>SUMIFS($AB$12:$AB$51,$C$12:$C$51,"&lt;&gt;Stipendiat",$C$12:$C$51,"&lt;&gt;Postdoktor",$F$12:$F$51,"Ja",$G$12:$G$51,"År")+(SUMIFS($AB$12:$AB$51,$C$12:$C$51,"&lt;&gt;Stipendiat",$C$12:$C$51,"&lt;&gt;Postdoktor",$F$12:$F$51,"Ja",$G$12:$G$51,"Måneder"))/12</f>
        <v>0</v>
      </c>
      <c r="O65" s="173">
        <f>SUMIFS($AD$12:$AD$51,$C$12:$C$51,"&lt;&gt;Stipendiat",$C$12:$C$51,"&lt;&gt;Postdoktor",$F$12:$F$51,"Ja",$G$12:$G$51,"År")+(SUMIFS($AD$12:$AD$51,$C$12:$C$51,"&lt;&gt;Stipendiat",$C$12:$C$51,"&lt;&gt;Postdoktor",$F$12:$F$51,"Ja",$G$12:$G$51,"Måneder"))/12</f>
        <v>0</v>
      </c>
      <c r="P65" s="176">
        <f t="shared" si="23"/>
        <v>0</v>
      </c>
    </row>
    <row r="66" spans="1:28" ht="15.75" thickBot="1" x14ac:dyDescent="0.3">
      <c r="C66" s="26" t="s">
        <v>79</v>
      </c>
      <c r="D66" s="174">
        <f t="shared" ref="D66:M66" si="24">SUM(D63:D65)</f>
        <v>1</v>
      </c>
      <c r="E66" s="174">
        <f t="shared" si="24"/>
        <v>1</v>
      </c>
      <c r="F66" s="174">
        <f t="shared" si="24"/>
        <v>3</v>
      </c>
      <c r="G66" s="174">
        <f t="shared" si="24"/>
        <v>2</v>
      </c>
      <c r="H66" s="174">
        <f t="shared" si="24"/>
        <v>1</v>
      </c>
      <c r="I66" s="174">
        <f t="shared" si="24"/>
        <v>0</v>
      </c>
      <c r="J66" s="174">
        <f t="shared" si="24"/>
        <v>0</v>
      </c>
      <c r="K66" s="174">
        <f t="shared" si="24"/>
        <v>0</v>
      </c>
      <c r="L66" s="174">
        <f t="shared" si="24"/>
        <v>0</v>
      </c>
      <c r="M66" s="174">
        <f t="shared" si="24"/>
        <v>0</v>
      </c>
      <c r="N66" s="174">
        <f t="shared" ref="N66:O66" si="25">SUM(N63:N65)</f>
        <v>0</v>
      </c>
      <c r="O66" s="174">
        <f t="shared" si="25"/>
        <v>0</v>
      </c>
      <c r="P66" s="175">
        <f>SUM(P63:P65)</f>
        <v>8</v>
      </c>
    </row>
    <row r="68" spans="1:28" hidden="1" outlineLevel="1" x14ac:dyDescent="0.25"/>
    <row r="69" spans="1:28" hidden="1" outlineLevel="1" x14ac:dyDescent="0.25">
      <c r="D69" s="320">
        <f>YEAR('1. Prosjektinfo'!$B$6)</f>
        <v>2019</v>
      </c>
      <c r="E69" s="321"/>
      <c r="F69" s="320">
        <f>D69+1</f>
        <v>2020</v>
      </c>
      <c r="G69" s="321"/>
      <c r="H69" s="320">
        <f>F69+1</f>
        <v>2021</v>
      </c>
      <c r="I69" s="321"/>
      <c r="J69" s="320">
        <f>H69+1</f>
        <v>2022</v>
      </c>
      <c r="K69" s="321"/>
      <c r="L69" s="320">
        <f>J69+1</f>
        <v>2023</v>
      </c>
      <c r="M69" s="321"/>
      <c r="N69" s="320">
        <f>L69+1</f>
        <v>2024</v>
      </c>
      <c r="O69" s="321"/>
      <c r="P69" s="320">
        <f>N69+1</f>
        <v>2025</v>
      </c>
      <c r="Q69" s="321"/>
      <c r="R69" s="320">
        <f>P69+1</f>
        <v>2026</v>
      </c>
      <c r="S69" s="321"/>
      <c r="T69" s="320">
        <f>R69+1</f>
        <v>2027</v>
      </c>
      <c r="U69" s="321"/>
      <c r="V69" s="320">
        <f>T69+1</f>
        <v>2028</v>
      </c>
      <c r="W69" s="321"/>
      <c r="X69" s="320">
        <f>V69+1</f>
        <v>2029</v>
      </c>
      <c r="Y69" s="321"/>
      <c r="Z69" s="320">
        <f>X69+1</f>
        <v>2030</v>
      </c>
      <c r="AA69" s="321"/>
    </row>
    <row r="70" spans="1:28" ht="30" hidden="1" outlineLevel="1" x14ac:dyDescent="0.25">
      <c r="A70" s="240" t="s">
        <v>422</v>
      </c>
      <c r="B70" s="240" t="s">
        <v>504</v>
      </c>
      <c r="C70" t="s">
        <v>116</v>
      </c>
      <c r="D70" s="140" t="s">
        <v>126</v>
      </c>
      <c r="E70" s="19" t="s">
        <v>125</v>
      </c>
      <c r="F70" s="19" t="s">
        <v>126</v>
      </c>
      <c r="G70" s="19" t="s">
        <v>125</v>
      </c>
      <c r="H70" s="19" t="s">
        <v>126</v>
      </c>
      <c r="I70" s="19" t="s">
        <v>125</v>
      </c>
      <c r="J70" s="19" t="s">
        <v>126</v>
      </c>
      <c r="K70" s="19" t="s">
        <v>125</v>
      </c>
      <c r="L70" s="19" t="s">
        <v>126</v>
      </c>
      <c r="M70" s="19" t="s">
        <v>125</v>
      </c>
      <c r="N70" s="19" t="s">
        <v>126</v>
      </c>
      <c r="O70" s="19" t="s">
        <v>125</v>
      </c>
      <c r="P70" s="19" t="s">
        <v>126</v>
      </c>
      <c r="Q70" s="19" t="s">
        <v>125</v>
      </c>
      <c r="R70" s="19" t="s">
        <v>126</v>
      </c>
      <c r="S70" s="19" t="s">
        <v>125</v>
      </c>
      <c r="T70" s="19" t="s">
        <v>126</v>
      </c>
      <c r="U70" s="19" t="s">
        <v>125</v>
      </c>
      <c r="V70" s="19" t="s">
        <v>126</v>
      </c>
      <c r="W70" s="141" t="s">
        <v>125</v>
      </c>
      <c r="X70" s="19" t="s">
        <v>126</v>
      </c>
      <c r="Y70" s="141" t="s">
        <v>125</v>
      </c>
      <c r="Z70" s="19" t="s">
        <v>126</v>
      </c>
      <c r="AA70" s="141" t="s">
        <v>125</v>
      </c>
    </row>
    <row r="71" spans="1:28" hidden="1" outlineLevel="1" x14ac:dyDescent="0.25">
      <c r="A71" s="177" t="str">
        <f t="shared" ref="A71:A106" si="26">E12</f>
        <v>Ja</v>
      </c>
      <c r="B71" s="177">
        <f t="shared" ref="B71:B106" si="27">B12</f>
        <v>2</v>
      </c>
      <c r="C71">
        <f>IFERROR(VLOOKUP(C12,Oppslag!B:D,3,FALSE),0)</f>
        <v>1</v>
      </c>
      <c r="D71" s="142">
        <f>((IF($D12&gt;0,IF($G12="Måneder",VLOOKUP($D12,Oppslag!$H:$O,5,FALSE())/12,VLOOKUP($D12,Oppslag!$H:$O,5,FALSE)),0))*H12)*(VLOOKUP(H$10,Oppslag!$AP:$AQ,2,FALSE))</f>
        <v>615904.88861192309</v>
      </c>
      <c r="E71" s="139">
        <f>IFERROR((IF($C71=1,VLOOKUP($D12,Oppslag!$AB:$AF,3,FALSE),VLOOKUP($D12,Oppslag!$AB:$AF,5,FALSE))*D71),0)</f>
        <v>437292.47091446538</v>
      </c>
      <c r="F71" s="264">
        <f>((IF($D12&gt;0,IF($G12="Måneder",VLOOKUP($D12,Oppslag!$H:$O,5,FALSE())/12,VLOOKUP($D12,Oppslag!$H:$O,5,FALSE)),0))*J12)*(VLOOKUP(J$10,Oppslag!$AP:$AQ,2,FALSE))</f>
        <v>634382.03527028079</v>
      </c>
      <c r="G71" s="264">
        <f>IFERROR((IF($C71=1,VLOOKUP($D12,Oppslag!$AB:$AF,3,FALSE),VLOOKUP($D12,Oppslag!$AB:$AF,5,FALSE))*F71),0)</f>
        <v>450411.24504189932</v>
      </c>
      <c r="H71" s="139">
        <f>((IF($D12&gt;0,IF($G12="Måneder",VLOOKUP($D12,Oppslag!$H:$O,5,FALSE())/12,VLOOKUP($D12,Oppslag!$H:$O,5,FALSE)),0))*L12)*(VLOOKUP(L$10,Oppslag!$AP:$AQ,2,FALSE))</f>
        <v>653413.49632838927</v>
      </c>
      <c r="I71" s="139">
        <f>IFERROR((IF($C71=1,VLOOKUP($D12,Oppslag!$AB:$AF,3,FALSE),VLOOKUP($D12,Oppslag!$AB:$AF,5,FALSE))*H71),0)</f>
        <v>463923.58239315636</v>
      </c>
      <c r="J71" s="264">
        <f>((IF($D12&gt;0,IF($G12="Måneder",VLOOKUP($D12,Oppslag!$H:$O,5,FALSE())/12,VLOOKUP($D12,Oppslag!$H:$O,5,FALSE)),0))*N12)*(VLOOKUP(N$10,Oppslag!$AP:$AQ,2,FALSE))</f>
        <v>0</v>
      </c>
      <c r="K71" s="264">
        <f>IFERROR((IF($C71=1,VLOOKUP($D12,Oppslag!$AB:$AF,3,FALSE),VLOOKUP($D12,Oppslag!$AB:$AF,5,FALSE))*J71),0)</f>
        <v>0</v>
      </c>
      <c r="L71" s="139">
        <f>((IF($D12&gt;0,IF($G12="Måneder",VLOOKUP($D12,Oppslag!$H:$O,5,FALSE())/12,VLOOKUP($D12,Oppslag!$H:$O,5,FALSE)),0))*P12)*(VLOOKUP(P$10,Oppslag!$AP:$AQ,2,FALSE))</f>
        <v>0</v>
      </c>
      <c r="M71" s="139">
        <f>IFERROR((IF($C71=1,VLOOKUP($D12,Oppslag!$AB:$AF,3,FALSE),VLOOKUP($D12,Oppslag!$AB:$AF,5,FALSE))*L71),0)</f>
        <v>0</v>
      </c>
      <c r="N71" s="264">
        <f>((IF($D12&gt;0,IF($G12="Måneder",VLOOKUP($D12,Oppslag!$H:$O,5,FALSE())/12,VLOOKUP($D12,Oppslag!$H:$O,5,FALSE)),0))*R12)*(VLOOKUP(R$10,Oppslag!$AP:$AQ,2,FALSE))</f>
        <v>0</v>
      </c>
      <c r="O71" s="264">
        <f>IFERROR((IF($C71=1,VLOOKUP($D12,Oppslag!$AB:$AF,3,FALSE),VLOOKUP($D12,Oppslag!$AB:$AF,5,FALSE))*N71),0)</f>
        <v>0</v>
      </c>
      <c r="P71" s="139">
        <f>((IF($D12&gt;0,IF($G12="Måneder",VLOOKUP($D12,Oppslag!$H:$O,5,FALSE())/12,VLOOKUP($D12,Oppslag!$H:$O,5,FALSE)),0))*T12)*(VLOOKUP(T$10,Oppslag!$AP:$AQ,2,FALSE))</f>
        <v>0</v>
      </c>
      <c r="Q71" s="139">
        <f>IFERROR((IF($C71=1,VLOOKUP($D12,Oppslag!$AB:$AF,3,FALSE),VLOOKUP($D12,Oppslag!$AB:$AF,5,FALSE))*P71),0)</f>
        <v>0</v>
      </c>
      <c r="R71" s="264">
        <f>((IF($D12&gt;0,IF($G12="Måneder",VLOOKUP($D12,Oppslag!$H:$O,5,FALSE())/12,VLOOKUP($D12,Oppslag!$H:$O,5,FALSE)),0))*V12)*(VLOOKUP(V$10,Oppslag!$AP:$AQ,2,FALSE))</f>
        <v>0</v>
      </c>
      <c r="S71" s="264">
        <f>IFERROR((IF($C71=1,VLOOKUP($D12,Oppslag!$AB:$AF,3,FALSE),VLOOKUP($D12,Oppslag!$AB:$AF,5,FALSE))*R71),0)</f>
        <v>0</v>
      </c>
      <c r="T71" s="139">
        <f>((IF($D12&gt;0,IF($G12="Måneder",VLOOKUP($D12,Oppslag!$H:$O,5,FALSE())/12,VLOOKUP($D12,Oppslag!$H:$O,5,FALSE)),0))*X12)*(VLOOKUP(X$10,Oppslag!$AP:$AQ,2,FALSE))</f>
        <v>0</v>
      </c>
      <c r="U71" s="139">
        <f>IFERROR((IF($C71=1,VLOOKUP($D12,Oppslag!$AB:$AF,3,FALSE),VLOOKUP($D12,Oppslag!$AB:$AF,5,FALSE))*T71),0)</f>
        <v>0</v>
      </c>
      <c r="V71" s="264">
        <f>((IF($D12&gt;0,IF($G12="Måneder",VLOOKUP($D12,Oppslag!$H:$O,5,FALSE())/12,VLOOKUP($D12,Oppslag!$H:$O,5,FALSE)),0))*Z12)*(VLOOKUP(Z$10,Oppslag!$AP:$AQ,2,FALSE))</f>
        <v>0</v>
      </c>
      <c r="W71" s="264">
        <f>IFERROR((IF($C71=1,VLOOKUP($D12,Oppslag!$AB:$AF,3,FALSE),VLOOKUP($D12,Oppslag!$AB:$AF,5,FALSE))*V71),0)</f>
        <v>0</v>
      </c>
      <c r="X71" s="139">
        <f>((IF($D12&gt;0,IF($G12="Måneder",VLOOKUP($D12,Oppslag!$H:$O,5,FALSE())/12,VLOOKUP($D12,Oppslag!$H:$O,5,FALSE)),0))*AB12)*(VLOOKUP(AB$10,Oppslag!$AP:$AQ,2,FALSE))</f>
        <v>0</v>
      </c>
      <c r="Y71" s="139">
        <f>IFERROR((IF($C71=1,VLOOKUP($D12,Oppslag!$AB:$AF,3,FALSE),VLOOKUP($D12,Oppslag!$AB:$AF,5,FALSE))*X71),0)</f>
        <v>0</v>
      </c>
      <c r="Z71" s="264">
        <f>((IF($D12&gt;0,IF($G12="Måneder",VLOOKUP($D12,Oppslag!$H:$O,5,FALSE())/12,VLOOKUP($D12,Oppslag!$H:$O,5,FALSE)),0))*AD12)*(VLOOKUP(AD$10,Oppslag!$AP:$AQ,2,FALSE))</f>
        <v>0</v>
      </c>
      <c r="AA71" s="264">
        <f>IFERROR((IF($C71=1,VLOOKUP($D12,Oppslag!$AB:$AF,3,FALSE),VLOOKUP($D12,Oppslag!$AB:$AF,5,FALSE))*Z71),0)</f>
        <v>0</v>
      </c>
      <c r="AB71" s="261">
        <f>SUM(D71:AA71)</f>
        <v>3255327.718560114</v>
      </c>
    </row>
    <row r="72" spans="1:28" hidden="1" outlineLevel="1" x14ac:dyDescent="0.25">
      <c r="A72" s="177" t="str">
        <f t="shared" si="26"/>
        <v>Ja</v>
      </c>
      <c r="B72" s="177">
        <f t="shared" si="27"/>
        <v>2</v>
      </c>
      <c r="C72">
        <f>IFERROR(VLOOKUP(C13,Oppslag!B:D,3,FALSE),0)</f>
        <v>1</v>
      </c>
      <c r="D72" s="142">
        <f>((IF($D13&gt;0,IF($G13="Måneder",VLOOKUP($D13,Oppslag!$H:$O,5,FALSE())/12,VLOOKUP($D13,Oppslag!$H:$O,5,FALSE)),0))*H13)*(VLOOKUP(H$10,Oppslag!$AP:$AQ,2,FALSE))</f>
        <v>0</v>
      </c>
      <c r="E72" s="139">
        <f>IFERROR((IF($C72=1,VLOOKUP($D13,Oppslag!$AB:$AF,3,FALSE),VLOOKUP($D13,Oppslag!$AB:$AF,5,FALSE))*D72),0)</f>
        <v>0</v>
      </c>
      <c r="F72" s="264">
        <f>((IF($D13&gt;0,IF($G13="Måneder",VLOOKUP($D13,Oppslag!$H:$O,5,FALSE())/12,VLOOKUP($D13,Oppslag!$H:$O,5,FALSE)),0))*J13)*(VLOOKUP(J$10,Oppslag!$AP:$AQ,2,FALSE))</f>
        <v>0</v>
      </c>
      <c r="G72" s="264">
        <f>IFERROR((IF($C72=1,VLOOKUP($D13,Oppslag!$AB:$AF,3,FALSE),VLOOKUP($D13,Oppslag!$AB:$AF,5,FALSE))*F72),0)</f>
        <v>0</v>
      </c>
      <c r="H72" s="139">
        <f>((IF($D13&gt;0,IF($G13="Måneder",VLOOKUP($D13,Oppslag!$H:$O,5,FALSE())/12,VLOOKUP($D13,Oppslag!$H:$O,5,FALSE)),0))*L13)*(VLOOKUP(L$10,Oppslag!$AP:$AQ,2,FALSE))</f>
        <v>653413.49632838927</v>
      </c>
      <c r="I72" s="139">
        <f>IFERROR((IF($C72=1,VLOOKUP($D13,Oppslag!$AB:$AF,3,FALSE),VLOOKUP($D13,Oppslag!$AB:$AF,5,FALSE))*H72),0)</f>
        <v>463923.58239315636</v>
      </c>
      <c r="J72" s="264">
        <f>((IF($D13&gt;0,IF($G13="Måneder",VLOOKUP($D13,Oppslag!$H:$O,5,FALSE())/12,VLOOKUP($D13,Oppslag!$H:$O,5,FALSE)),0))*N13)*(VLOOKUP(N$10,Oppslag!$AP:$AQ,2,FALSE))</f>
        <v>673015.90121824108</v>
      </c>
      <c r="K72" s="264">
        <f>IFERROR((IF($C72=1,VLOOKUP($D13,Oppslag!$AB:$AF,3,FALSE),VLOOKUP($D13,Oppslag!$AB:$AF,5,FALSE))*J72),0)</f>
        <v>477841.28986495116</v>
      </c>
      <c r="L72" s="139">
        <f>((IF($D13&gt;0,IF($G13="Måneder",VLOOKUP($D13,Oppslag!$H:$O,5,FALSE())/12,VLOOKUP($D13,Oppslag!$H:$O,5,FALSE)),0))*P13)*(VLOOKUP(P$10,Oppslag!$AP:$AQ,2,FALSE))</f>
        <v>693206.37825478835</v>
      </c>
      <c r="M72" s="139">
        <f>IFERROR((IF($C72=1,VLOOKUP($D13,Oppslag!$AB:$AF,3,FALSE),VLOOKUP($D13,Oppslag!$AB:$AF,5,FALSE))*L72),0)</f>
        <v>492176.52856089972</v>
      </c>
      <c r="N72" s="264">
        <f>((IF($D13&gt;0,IF($G13="Måneder",VLOOKUP($D13,Oppslag!$H:$O,5,FALSE())/12,VLOOKUP($D13,Oppslag!$H:$O,5,FALSE)),0))*R13)*(VLOOKUP(R$10,Oppslag!$AP:$AQ,2,FALSE))</f>
        <v>0</v>
      </c>
      <c r="O72" s="264">
        <f>IFERROR((IF($C72=1,VLOOKUP($D13,Oppslag!$AB:$AF,3,FALSE),VLOOKUP($D13,Oppslag!$AB:$AF,5,FALSE))*N72),0)</f>
        <v>0</v>
      </c>
      <c r="P72" s="139">
        <f>((IF($D13&gt;0,IF($G13="Måneder",VLOOKUP($D13,Oppslag!$H:$O,5,FALSE())/12,VLOOKUP($D13,Oppslag!$H:$O,5,FALSE)),0))*T13)*(VLOOKUP(T$10,Oppslag!$AP:$AQ,2,FALSE))</f>
        <v>0</v>
      </c>
      <c r="Q72" s="139">
        <f>IFERROR((IF($C72=1,VLOOKUP($D13,Oppslag!$AB:$AF,3,FALSE),VLOOKUP($D13,Oppslag!$AB:$AF,5,FALSE))*P72),0)</f>
        <v>0</v>
      </c>
      <c r="R72" s="264">
        <f>((IF($D13&gt;0,IF($G13="Måneder",VLOOKUP($D13,Oppslag!$H:$O,5,FALSE())/12,VLOOKUP($D13,Oppslag!$H:$O,5,FALSE)),0))*V13)*(VLOOKUP(V$10,Oppslag!$AP:$AQ,2,FALSE))</f>
        <v>0</v>
      </c>
      <c r="S72" s="264">
        <f>IFERROR((IF($C72=1,VLOOKUP($D13,Oppslag!$AB:$AF,3,FALSE),VLOOKUP($D13,Oppslag!$AB:$AF,5,FALSE))*R72),0)</f>
        <v>0</v>
      </c>
      <c r="T72" s="139">
        <f>((IF($D13&gt;0,IF($G13="Måneder",VLOOKUP($D13,Oppslag!$H:$O,5,FALSE())/12,VLOOKUP($D13,Oppslag!$H:$O,5,FALSE)),0))*X13)*(VLOOKUP(X$10,Oppslag!$AP:$AQ,2,FALSE))</f>
        <v>0</v>
      </c>
      <c r="U72" s="139">
        <f>IFERROR((IF($C72=1,VLOOKUP($D13,Oppslag!$AB:$AF,3,FALSE),VLOOKUP($D13,Oppslag!$AB:$AF,5,FALSE))*T72),0)</f>
        <v>0</v>
      </c>
      <c r="V72" s="264">
        <f>((IF($D13&gt;0,IF($G13="Måneder",VLOOKUP($D13,Oppslag!$H:$O,5,FALSE())/12,VLOOKUP($D13,Oppslag!$H:$O,5,FALSE)),0))*Z13)*(VLOOKUP(Z$10,Oppslag!$AP:$AQ,2,FALSE))</f>
        <v>0</v>
      </c>
      <c r="W72" s="264">
        <f>IFERROR((IF($C72=1,VLOOKUP($D13,Oppslag!$AB:$AF,3,FALSE),VLOOKUP($D13,Oppslag!$AB:$AF,5,FALSE))*V72),0)</f>
        <v>0</v>
      </c>
      <c r="X72" s="139">
        <f>((IF($D13&gt;0,IF($G13="Måneder",VLOOKUP($D13,Oppslag!$H:$O,5,FALSE())/12,VLOOKUP($D13,Oppslag!$H:$O,5,FALSE)),0))*AB13)*(VLOOKUP(AB$10,Oppslag!$AP:$AQ,2,FALSE))</f>
        <v>0</v>
      </c>
      <c r="Y72" s="139">
        <f>IFERROR((IF($C72=1,VLOOKUP($D13,Oppslag!$AB:$AF,3,FALSE),VLOOKUP($D13,Oppslag!$AB:$AF,5,FALSE))*X72),0)</f>
        <v>0</v>
      </c>
      <c r="Z72" s="264">
        <f>((IF($D13&gt;0,IF($G13="Måneder",VLOOKUP($D13,Oppslag!$H:$O,5,FALSE())/12,VLOOKUP($D13,Oppslag!$H:$O,5,FALSE)),0))*AD13)*(VLOOKUP(AD$10,Oppslag!$AP:$AQ,2,FALSE))</f>
        <v>0</v>
      </c>
      <c r="AA72" s="264">
        <f>IFERROR((IF($C72=1,VLOOKUP($D13,Oppslag!$AB:$AF,3,FALSE),VLOOKUP($D13,Oppslag!$AB:$AF,5,FALSE))*Z72),0)</f>
        <v>0</v>
      </c>
      <c r="AB72" s="261">
        <f t="shared" ref="AB72:AB110" si="28">SUM(D72:AA72)</f>
        <v>3453577.1766204261</v>
      </c>
    </row>
    <row r="73" spans="1:28" hidden="1" outlineLevel="1" x14ac:dyDescent="0.25">
      <c r="A73" s="177" t="str">
        <f t="shared" si="26"/>
        <v>Ja</v>
      </c>
      <c r="B73" s="177">
        <f t="shared" si="27"/>
        <v>2</v>
      </c>
      <c r="C73">
        <f>IFERROR(VLOOKUP(C14,Oppslag!B:D,3,FALSE),0)</f>
        <v>1</v>
      </c>
      <c r="D73" s="142">
        <f>((IF($D14&gt;0,IF($G14="Måneder",VLOOKUP($D14,Oppslag!$H:$O,5,FALSE())/12,VLOOKUP($D14,Oppslag!$H:$O,5,FALSE)),0))*H14)*(VLOOKUP(H$10,Oppslag!$AP:$AQ,2,FALSE))</f>
        <v>0</v>
      </c>
      <c r="E73" s="139">
        <f>IFERROR((IF($C73=1,VLOOKUP($D14,Oppslag!$AB:$AF,3,FALSE),VLOOKUP($D14,Oppslag!$AB:$AF,5,FALSE))*D73),0)</f>
        <v>0</v>
      </c>
      <c r="F73" s="264">
        <f>((IF($D14&gt;0,IF($G14="Måneder",VLOOKUP($D14,Oppslag!$H:$O,5,FALSE())/12,VLOOKUP($D14,Oppslag!$H:$O,5,FALSE)),0))*J14)*(VLOOKUP(J$10,Oppslag!$AP:$AQ,2,FALSE))</f>
        <v>0</v>
      </c>
      <c r="G73" s="264">
        <f>IFERROR((IF($C73=1,VLOOKUP($D14,Oppslag!$AB:$AF,3,FALSE),VLOOKUP($D14,Oppslag!$AB:$AF,5,FALSE))*F73),0)</f>
        <v>0</v>
      </c>
      <c r="H73" s="139">
        <f>((IF($D14&gt;0,IF($G14="Måneder",VLOOKUP($D14,Oppslag!$H:$O,5,FALSE())/12,VLOOKUP($D14,Oppslag!$H:$O,5,FALSE)),0))*L14)*(VLOOKUP(L$10,Oppslag!$AP:$AQ,2,FALSE))</f>
        <v>724149.37845666159</v>
      </c>
      <c r="I73" s="139">
        <f>IFERROR((IF($C73=1,VLOOKUP($D14,Oppslag!$AB:$AF,3,FALSE),VLOOKUP($D14,Oppslag!$AB:$AF,5,FALSE))*H73),0)</f>
        <v>448972.61464313016</v>
      </c>
      <c r="J73" s="264">
        <f>((IF($D14&gt;0,IF($G14="Måneder",VLOOKUP($D14,Oppslag!$H:$O,5,FALSE())/12,VLOOKUP($D14,Oppslag!$H:$O,5,FALSE)),0))*N14)*(VLOOKUP(N$10,Oppslag!$AP:$AQ,2,FALSE))</f>
        <v>745873.85981036152</v>
      </c>
      <c r="K73" s="264">
        <f>IFERROR((IF($C73=1,VLOOKUP($D14,Oppslag!$AB:$AF,3,FALSE),VLOOKUP($D14,Oppslag!$AB:$AF,5,FALSE))*J73),0)</f>
        <v>462441.79308242415</v>
      </c>
      <c r="L73" s="139">
        <f>((IF($D14&gt;0,IF($G14="Måneder",VLOOKUP($D14,Oppslag!$H:$O,5,FALSE())/12,VLOOKUP($D14,Oppslag!$H:$O,5,FALSE)),0))*P14)*(VLOOKUP(P$10,Oppslag!$AP:$AQ,2,FALSE))</f>
        <v>0</v>
      </c>
      <c r="M73" s="139">
        <f>IFERROR((IF($C73=1,VLOOKUP($D14,Oppslag!$AB:$AF,3,FALSE),VLOOKUP($D14,Oppslag!$AB:$AF,5,FALSE))*L73),0)</f>
        <v>0</v>
      </c>
      <c r="N73" s="264">
        <f>((IF($D14&gt;0,IF($G14="Måneder",VLOOKUP($D14,Oppslag!$H:$O,5,FALSE())/12,VLOOKUP($D14,Oppslag!$H:$O,5,FALSE)),0))*R14)*(VLOOKUP(R$10,Oppslag!$AP:$AQ,2,FALSE))</f>
        <v>0</v>
      </c>
      <c r="O73" s="264">
        <f>IFERROR((IF($C73=1,VLOOKUP($D14,Oppslag!$AB:$AF,3,FALSE),VLOOKUP($D14,Oppslag!$AB:$AF,5,FALSE))*N73),0)</f>
        <v>0</v>
      </c>
      <c r="P73" s="139">
        <f>((IF($D14&gt;0,IF($G14="Måneder",VLOOKUP($D14,Oppslag!$H:$O,5,FALSE())/12,VLOOKUP($D14,Oppslag!$H:$O,5,FALSE)),0))*T14)*(VLOOKUP(T$10,Oppslag!$AP:$AQ,2,FALSE))</f>
        <v>0</v>
      </c>
      <c r="Q73" s="139">
        <f>IFERROR((IF($C73=1,VLOOKUP($D14,Oppslag!$AB:$AF,3,FALSE),VLOOKUP($D14,Oppslag!$AB:$AF,5,FALSE))*P73),0)</f>
        <v>0</v>
      </c>
      <c r="R73" s="264">
        <f>((IF($D14&gt;0,IF($G14="Måneder",VLOOKUP($D14,Oppslag!$H:$O,5,FALSE())/12,VLOOKUP($D14,Oppslag!$H:$O,5,FALSE)),0))*V14)*(VLOOKUP(V$10,Oppslag!$AP:$AQ,2,FALSE))</f>
        <v>0</v>
      </c>
      <c r="S73" s="264">
        <f>IFERROR((IF($C73=1,VLOOKUP($D14,Oppslag!$AB:$AF,3,FALSE),VLOOKUP($D14,Oppslag!$AB:$AF,5,FALSE))*R73),0)</f>
        <v>0</v>
      </c>
      <c r="T73" s="139">
        <f>((IF($D14&gt;0,IF($G14="Måneder",VLOOKUP($D14,Oppslag!$H:$O,5,FALSE())/12,VLOOKUP($D14,Oppslag!$H:$O,5,FALSE)),0))*X14)*(VLOOKUP(X$10,Oppslag!$AP:$AQ,2,FALSE))</f>
        <v>0</v>
      </c>
      <c r="U73" s="139">
        <f>IFERROR((IF($C73=1,VLOOKUP($D14,Oppslag!$AB:$AF,3,FALSE),VLOOKUP($D14,Oppslag!$AB:$AF,5,FALSE))*T73),0)</f>
        <v>0</v>
      </c>
      <c r="V73" s="264">
        <f>((IF($D14&gt;0,IF($G14="Måneder",VLOOKUP($D14,Oppslag!$H:$O,5,FALSE())/12,VLOOKUP($D14,Oppslag!$H:$O,5,FALSE)),0))*Z14)*(VLOOKUP(Z$10,Oppslag!$AP:$AQ,2,FALSE))</f>
        <v>0</v>
      </c>
      <c r="W73" s="264">
        <f>IFERROR((IF($C73=1,VLOOKUP($D14,Oppslag!$AB:$AF,3,FALSE),VLOOKUP($D14,Oppslag!$AB:$AF,5,FALSE))*V73),0)</f>
        <v>0</v>
      </c>
      <c r="X73" s="139">
        <f>((IF($D14&gt;0,IF($G14="Måneder",VLOOKUP($D14,Oppslag!$H:$O,5,FALSE())/12,VLOOKUP($D14,Oppslag!$H:$O,5,FALSE)),0))*AB14)*(VLOOKUP(AB$10,Oppslag!$AP:$AQ,2,FALSE))</f>
        <v>0</v>
      </c>
      <c r="Y73" s="139">
        <f>IFERROR((IF($C73=1,VLOOKUP($D14,Oppslag!$AB:$AF,3,FALSE),VLOOKUP($D14,Oppslag!$AB:$AF,5,FALSE))*X73),0)</f>
        <v>0</v>
      </c>
      <c r="Z73" s="264">
        <f>((IF($D14&gt;0,IF($G14="Måneder",VLOOKUP($D14,Oppslag!$H:$O,5,FALSE())/12,VLOOKUP($D14,Oppslag!$H:$O,5,FALSE)),0))*AD14)*(VLOOKUP(AD$10,Oppslag!$AP:$AQ,2,FALSE))</f>
        <v>0</v>
      </c>
      <c r="AA73" s="264">
        <f>IFERROR((IF($C73=1,VLOOKUP($D14,Oppslag!$AB:$AF,3,FALSE),VLOOKUP($D14,Oppslag!$AB:$AF,5,FALSE))*Z73),0)</f>
        <v>0</v>
      </c>
      <c r="AB73" s="261">
        <f t="shared" si="28"/>
        <v>2381437.6459925771</v>
      </c>
    </row>
    <row r="74" spans="1:28" hidden="1" outlineLevel="1" x14ac:dyDescent="0.25">
      <c r="A74" s="177">
        <f t="shared" si="26"/>
        <v>0</v>
      </c>
      <c r="B74" s="177">
        <f t="shared" si="27"/>
        <v>0</v>
      </c>
      <c r="C74">
        <f>IFERROR(VLOOKUP(C15,Oppslag!B:D,3,FALSE),0)</f>
        <v>0</v>
      </c>
      <c r="D74" s="142">
        <f>((IF($D15&gt;0,IF($G15="Måneder",VLOOKUP($D15,Oppslag!$H:$O,5,FALSE())/12,VLOOKUP($D15,Oppslag!$H:$O,5,FALSE)),0))*H15)*(VLOOKUP(H$10,Oppslag!$AP:$AQ,2,FALSE))</f>
        <v>0</v>
      </c>
      <c r="E74" s="139">
        <f>IFERROR((IF($C74=1,VLOOKUP($D15,Oppslag!$AB:$AF,3,FALSE),VLOOKUP($D15,Oppslag!$AB:$AF,5,FALSE))*D74),0)</f>
        <v>0</v>
      </c>
      <c r="F74" s="264">
        <f>((IF($D15&gt;0,IF($G15="Måneder",VLOOKUP($D15,Oppslag!$H:$O,5,FALSE())/12,VLOOKUP($D15,Oppslag!$H:$O,5,FALSE)),0))*J15)*(VLOOKUP(J$10,Oppslag!$AP:$AQ,2,FALSE))</f>
        <v>0</v>
      </c>
      <c r="G74" s="264">
        <f>IFERROR((IF($C74=1,VLOOKUP($D15,Oppslag!$AB:$AF,3,FALSE),VLOOKUP($D15,Oppslag!$AB:$AF,5,FALSE))*F74),0)</f>
        <v>0</v>
      </c>
      <c r="H74" s="139">
        <f>((IF($D15&gt;0,IF($G15="Måneder",VLOOKUP($D15,Oppslag!$H:$O,5,FALSE())/12,VLOOKUP($D15,Oppslag!$H:$O,5,FALSE)),0))*L15)*(VLOOKUP(L$10,Oppslag!$AP:$AQ,2,FALSE))</f>
        <v>0</v>
      </c>
      <c r="I74" s="139">
        <f>IFERROR((IF($C74=1,VLOOKUP($D15,Oppslag!$AB:$AF,3,FALSE),VLOOKUP($D15,Oppslag!$AB:$AF,5,FALSE))*H74),0)</f>
        <v>0</v>
      </c>
      <c r="J74" s="264">
        <f>((IF($D15&gt;0,IF($G15="Måneder",VLOOKUP($D15,Oppslag!$H:$O,5,FALSE())/12,VLOOKUP($D15,Oppslag!$H:$O,5,FALSE)),0))*N15)*(VLOOKUP(N$10,Oppslag!$AP:$AQ,2,FALSE))</f>
        <v>0</v>
      </c>
      <c r="K74" s="264">
        <f>IFERROR((IF($C74=1,VLOOKUP($D15,Oppslag!$AB:$AF,3,FALSE),VLOOKUP($D15,Oppslag!$AB:$AF,5,FALSE))*J74),0)</f>
        <v>0</v>
      </c>
      <c r="L74" s="139">
        <f>((IF($D15&gt;0,IF($G15="Måneder",VLOOKUP($D15,Oppslag!$H:$O,5,FALSE())/12,VLOOKUP($D15,Oppslag!$H:$O,5,FALSE)),0))*P15)*(VLOOKUP(P$10,Oppslag!$AP:$AQ,2,FALSE))</f>
        <v>0</v>
      </c>
      <c r="M74" s="139">
        <f>IFERROR((IF($C74=1,VLOOKUP($D15,Oppslag!$AB:$AF,3,FALSE),VLOOKUP($D15,Oppslag!$AB:$AF,5,FALSE))*L74),0)</f>
        <v>0</v>
      </c>
      <c r="N74" s="264">
        <f>((IF($D15&gt;0,IF($G15="Måneder",VLOOKUP($D15,Oppslag!$H:$O,5,FALSE())/12,VLOOKUP($D15,Oppslag!$H:$O,5,FALSE)),0))*R15)*(VLOOKUP(R$10,Oppslag!$AP:$AQ,2,FALSE))</f>
        <v>0</v>
      </c>
      <c r="O74" s="264">
        <f>IFERROR((IF($C74=1,VLOOKUP($D15,Oppslag!$AB:$AF,3,FALSE),VLOOKUP($D15,Oppslag!$AB:$AF,5,FALSE))*N74),0)</f>
        <v>0</v>
      </c>
      <c r="P74" s="139">
        <f>((IF($D15&gt;0,IF($G15="Måneder",VLOOKUP($D15,Oppslag!$H:$O,5,FALSE())/12,VLOOKUP($D15,Oppslag!$H:$O,5,FALSE)),0))*T15)*(VLOOKUP(T$10,Oppslag!$AP:$AQ,2,FALSE))</f>
        <v>0</v>
      </c>
      <c r="Q74" s="139">
        <f>IFERROR((IF($C74=1,VLOOKUP($D15,Oppslag!$AB:$AF,3,FALSE),VLOOKUP($D15,Oppslag!$AB:$AF,5,FALSE))*P74),0)</f>
        <v>0</v>
      </c>
      <c r="R74" s="264">
        <f>((IF($D15&gt;0,IF($G15="Måneder",VLOOKUP($D15,Oppslag!$H:$O,5,FALSE())/12,VLOOKUP($D15,Oppslag!$H:$O,5,FALSE)),0))*V15)*(VLOOKUP(V$10,Oppslag!$AP:$AQ,2,FALSE))</f>
        <v>0</v>
      </c>
      <c r="S74" s="264">
        <f>IFERROR((IF($C74=1,VLOOKUP($D15,Oppslag!$AB:$AF,3,FALSE),VLOOKUP($D15,Oppslag!$AB:$AF,5,FALSE))*R74),0)</f>
        <v>0</v>
      </c>
      <c r="T74" s="139">
        <f>((IF($D15&gt;0,IF($G15="Måneder",VLOOKUP($D15,Oppslag!$H:$O,5,FALSE())/12,VLOOKUP($D15,Oppslag!$H:$O,5,FALSE)),0))*X15)*(VLOOKUP(X$10,Oppslag!$AP:$AQ,2,FALSE))</f>
        <v>0</v>
      </c>
      <c r="U74" s="139">
        <f>IFERROR((IF($C74=1,VLOOKUP($D15,Oppslag!$AB:$AF,3,FALSE),VLOOKUP($D15,Oppslag!$AB:$AF,5,FALSE))*T74),0)</f>
        <v>0</v>
      </c>
      <c r="V74" s="264">
        <f>((IF($D15&gt;0,IF($G15="Måneder",VLOOKUP($D15,Oppslag!$H:$O,5,FALSE())/12,VLOOKUP($D15,Oppslag!$H:$O,5,FALSE)),0))*Z15)*(VLOOKUP(Z$10,Oppslag!$AP:$AQ,2,FALSE))</f>
        <v>0</v>
      </c>
      <c r="W74" s="264">
        <f>IFERROR((IF($C74=1,VLOOKUP($D15,Oppslag!$AB:$AF,3,FALSE),VLOOKUP($D15,Oppslag!$AB:$AF,5,FALSE))*V74),0)</f>
        <v>0</v>
      </c>
      <c r="X74" s="139">
        <f>((IF($D15&gt;0,IF($G15="Måneder",VLOOKUP($D15,Oppslag!$H:$O,5,FALSE())/12,VLOOKUP($D15,Oppslag!$H:$O,5,FALSE)),0))*AB15)*(VLOOKUP(AB$10,Oppslag!$AP:$AQ,2,FALSE))</f>
        <v>0</v>
      </c>
      <c r="Y74" s="139">
        <f>IFERROR((IF($C74=1,VLOOKUP($D15,Oppslag!$AB:$AF,3,FALSE),VLOOKUP($D15,Oppslag!$AB:$AF,5,FALSE))*X74),0)</f>
        <v>0</v>
      </c>
      <c r="Z74" s="264">
        <f>((IF($D15&gt;0,IF($G15="Måneder",VLOOKUP($D15,Oppslag!$H:$O,5,FALSE())/12,VLOOKUP($D15,Oppslag!$H:$O,5,FALSE)),0))*AD15)*(VLOOKUP(AD$10,Oppslag!$AP:$AQ,2,FALSE))</f>
        <v>0</v>
      </c>
      <c r="AA74" s="264">
        <f>IFERROR((IF($C74=1,VLOOKUP($D15,Oppslag!$AB:$AF,3,FALSE),VLOOKUP($D15,Oppslag!$AB:$AF,5,FALSE))*Z74),0)</f>
        <v>0</v>
      </c>
      <c r="AB74" s="261">
        <f t="shared" si="28"/>
        <v>0</v>
      </c>
    </row>
    <row r="75" spans="1:28" hidden="1" outlineLevel="1" x14ac:dyDescent="0.25">
      <c r="A75" s="177">
        <f t="shared" si="26"/>
        <v>0</v>
      </c>
      <c r="B75" s="177">
        <f t="shared" si="27"/>
        <v>0</v>
      </c>
      <c r="C75">
        <f>IFERROR(VLOOKUP(C16,Oppslag!B:D,3,FALSE),0)</f>
        <v>0</v>
      </c>
      <c r="D75" s="142">
        <f>((IF($D16&gt;0,IF($G16="Måneder",VLOOKUP($D16,Oppslag!$H:$O,5,FALSE())/12,VLOOKUP($D16,Oppslag!$H:$O,5,FALSE)),0))*H16)*(VLOOKUP(H$10,Oppslag!$AP:$AQ,2,FALSE))</f>
        <v>0</v>
      </c>
      <c r="E75" s="139">
        <f>IFERROR((IF($C75=1,VLOOKUP($D16,Oppslag!$AB:$AF,3,FALSE),VLOOKUP($D16,Oppslag!$AB:$AF,5,FALSE))*D75),0)</f>
        <v>0</v>
      </c>
      <c r="F75" s="264">
        <f>((IF($D16&gt;0,IF($G16="Måneder",VLOOKUP($D16,Oppslag!$H:$O,5,FALSE())/12,VLOOKUP($D16,Oppslag!$H:$O,5,FALSE)),0))*J16)*(VLOOKUP(J$10,Oppslag!$AP:$AQ,2,FALSE))</f>
        <v>0</v>
      </c>
      <c r="G75" s="264">
        <f>IFERROR((IF($C75=1,VLOOKUP($D16,Oppslag!$AB:$AF,3,FALSE),VLOOKUP($D16,Oppslag!$AB:$AF,5,FALSE))*F75),0)</f>
        <v>0</v>
      </c>
      <c r="H75" s="139">
        <f>((IF($D16&gt;0,IF($G16="Måneder",VLOOKUP($D16,Oppslag!$H:$O,5,FALSE())/12,VLOOKUP($D16,Oppslag!$H:$O,5,FALSE)),0))*L16)*(VLOOKUP(L$10,Oppslag!$AP:$AQ,2,FALSE))</f>
        <v>0</v>
      </c>
      <c r="I75" s="139">
        <f>IFERROR((IF($C75=1,VLOOKUP($D16,Oppslag!$AB:$AF,3,FALSE),VLOOKUP($D16,Oppslag!$AB:$AF,5,FALSE))*H75),0)</f>
        <v>0</v>
      </c>
      <c r="J75" s="264">
        <f>((IF($D16&gt;0,IF($G16="Måneder",VLOOKUP($D16,Oppslag!$H:$O,5,FALSE())/12,VLOOKUP($D16,Oppslag!$H:$O,5,FALSE)),0))*N16)*(VLOOKUP(N$10,Oppslag!$AP:$AQ,2,FALSE))</f>
        <v>0</v>
      </c>
      <c r="K75" s="264">
        <f>IFERROR((IF($C75=1,VLOOKUP($D16,Oppslag!$AB:$AF,3,FALSE),VLOOKUP($D16,Oppslag!$AB:$AF,5,FALSE))*J75),0)</f>
        <v>0</v>
      </c>
      <c r="L75" s="139">
        <f>((IF($D16&gt;0,IF($G16="Måneder",VLOOKUP($D16,Oppslag!$H:$O,5,FALSE())/12,VLOOKUP($D16,Oppslag!$H:$O,5,FALSE)),0))*P16)*(VLOOKUP(P$10,Oppslag!$AP:$AQ,2,FALSE))</f>
        <v>0</v>
      </c>
      <c r="M75" s="139">
        <f>IFERROR((IF($C75=1,VLOOKUP($D16,Oppslag!$AB:$AF,3,FALSE),VLOOKUP($D16,Oppslag!$AB:$AF,5,FALSE))*L75),0)</f>
        <v>0</v>
      </c>
      <c r="N75" s="264">
        <f>((IF($D16&gt;0,IF($G16="Måneder",VLOOKUP($D16,Oppslag!$H:$O,5,FALSE())/12,VLOOKUP($D16,Oppslag!$H:$O,5,FALSE)),0))*R16)*(VLOOKUP(R$10,Oppslag!$AP:$AQ,2,FALSE))</f>
        <v>0</v>
      </c>
      <c r="O75" s="264">
        <f>IFERROR((IF($C75=1,VLOOKUP($D16,Oppslag!$AB:$AF,3,FALSE),VLOOKUP($D16,Oppslag!$AB:$AF,5,FALSE))*N75),0)</f>
        <v>0</v>
      </c>
      <c r="P75" s="139">
        <f>((IF($D16&gt;0,IF($G16="Måneder",VLOOKUP($D16,Oppslag!$H:$O,5,FALSE())/12,VLOOKUP($D16,Oppslag!$H:$O,5,FALSE)),0))*T16)*(VLOOKUP(T$10,Oppslag!$AP:$AQ,2,FALSE))</f>
        <v>0</v>
      </c>
      <c r="Q75" s="139">
        <f>IFERROR((IF($C75=1,VLOOKUP($D16,Oppslag!$AB:$AF,3,FALSE),VLOOKUP($D16,Oppslag!$AB:$AF,5,FALSE))*P75),0)</f>
        <v>0</v>
      </c>
      <c r="R75" s="264">
        <f>((IF($D16&gt;0,IF($G16="Måneder",VLOOKUP($D16,Oppslag!$H:$O,5,FALSE())/12,VLOOKUP($D16,Oppslag!$H:$O,5,FALSE)),0))*V16)*(VLOOKUP(V$10,Oppslag!$AP:$AQ,2,FALSE))</f>
        <v>0</v>
      </c>
      <c r="S75" s="264">
        <f>IFERROR((IF($C75=1,VLOOKUP($D16,Oppslag!$AB:$AF,3,FALSE),VLOOKUP($D16,Oppslag!$AB:$AF,5,FALSE))*R75),0)</f>
        <v>0</v>
      </c>
      <c r="T75" s="139">
        <f>((IF($D16&gt;0,IF($G16="Måneder",VLOOKUP($D16,Oppslag!$H:$O,5,FALSE())/12,VLOOKUP($D16,Oppslag!$H:$O,5,FALSE)),0))*X16)*(VLOOKUP(X$10,Oppslag!$AP:$AQ,2,FALSE))</f>
        <v>0</v>
      </c>
      <c r="U75" s="139">
        <f>IFERROR((IF($C75=1,VLOOKUP($D16,Oppslag!$AB:$AF,3,FALSE),VLOOKUP($D16,Oppslag!$AB:$AF,5,FALSE))*T75),0)</f>
        <v>0</v>
      </c>
      <c r="V75" s="264">
        <f>((IF($D16&gt;0,IF($G16="Måneder",VLOOKUP($D16,Oppslag!$H:$O,5,FALSE())/12,VLOOKUP($D16,Oppslag!$H:$O,5,FALSE)),0))*Z16)*(VLOOKUP(Z$10,Oppslag!$AP:$AQ,2,FALSE))</f>
        <v>0</v>
      </c>
      <c r="W75" s="264">
        <f>IFERROR((IF($C75=1,VLOOKUP($D16,Oppslag!$AB:$AF,3,FALSE),VLOOKUP($D16,Oppslag!$AB:$AF,5,FALSE))*V75),0)</f>
        <v>0</v>
      </c>
      <c r="X75" s="139">
        <f>((IF($D16&gt;0,IF($G16="Måneder",VLOOKUP($D16,Oppslag!$H:$O,5,FALSE())/12,VLOOKUP($D16,Oppslag!$H:$O,5,FALSE)),0))*AB16)*(VLOOKUP(AB$10,Oppslag!$AP:$AQ,2,FALSE))</f>
        <v>0</v>
      </c>
      <c r="Y75" s="139">
        <f>IFERROR((IF($C75=1,VLOOKUP($D16,Oppslag!$AB:$AF,3,FALSE),VLOOKUP($D16,Oppslag!$AB:$AF,5,FALSE))*X75),0)</f>
        <v>0</v>
      </c>
      <c r="Z75" s="264">
        <f>((IF($D16&gt;0,IF($G16="Måneder",VLOOKUP($D16,Oppslag!$H:$O,5,FALSE())/12,VLOOKUP($D16,Oppslag!$H:$O,5,FALSE)),0))*AD16)*(VLOOKUP(AD$10,Oppslag!$AP:$AQ,2,FALSE))</f>
        <v>0</v>
      </c>
      <c r="AA75" s="264">
        <f>IFERROR((IF($C75=1,VLOOKUP($D16,Oppslag!$AB:$AF,3,FALSE),VLOOKUP($D16,Oppslag!$AB:$AF,5,FALSE))*Z75),0)</f>
        <v>0</v>
      </c>
      <c r="AB75" s="261">
        <f t="shared" si="28"/>
        <v>0</v>
      </c>
    </row>
    <row r="76" spans="1:28" hidden="1" outlineLevel="1" x14ac:dyDescent="0.25">
      <c r="A76" s="177">
        <f t="shared" si="26"/>
        <v>0</v>
      </c>
      <c r="B76" s="177">
        <f t="shared" si="27"/>
        <v>0</v>
      </c>
      <c r="C76">
        <f>IFERROR(VLOOKUP(C17,Oppslag!B:D,3,FALSE),0)</f>
        <v>0</v>
      </c>
      <c r="D76" s="142">
        <f>((IF($D17&gt;0,IF($G17="Måneder",VLOOKUP($D17,Oppslag!$H:$O,5,FALSE())/12,VLOOKUP($D17,Oppslag!$H:$O,5,FALSE)),0))*H17)*(VLOOKUP(H$10,Oppslag!$AP:$AQ,2,FALSE))</f>
        <v>0</v>
      </c>
      <c r="E76" s="139">
        <f>IFERROR((IF($C76=1,VLOOKUP($D17,Oppslag!$AB:$AF,3,FALSE),VLOOKUP($D17,Oppslag!$AB:$AF,5,FALSE))*D76),0)</f>
        <v>0</v>
      </c>
      <c r="F76" s="264">
        <f>((IF($D17&gt;0,IF($G17="Måneder",VLOOKUP($D17,Oppslag!$H:$O,5,FALSE())/12,VLOOKUP($D17,Oppslag!$H:$O,5,FALSE)),0))*J17)*(VLOOKUP(J$10,Oppslag!$AP:$AQ,2,FALSE))</f>
        <v>0</v>
      </c>
      <c r="G76" s="264">
        <f>IFERROR((IF($C76=1,VLOOKUP($D17,Oppslag!$AB:$AF,3,FALSE),VLOOKUP($D17,Oppslag!$AB:$AF,5,FALSE))*F76),0)</f>
        <v>0</v>
      </c>
      <c r="H76" s="139">
        <f>((IF($D17&gt;0,IF($G17="Måneder",VLOOKUP($D17,Oppslag!$H:$O,5,FALSE())/12,VLOOKUP($D17,Oppslag!$H:$O,5,FALSE)),0))*L17)*(VLOOKUP(L$10,Oppslag!$AP:$AQ,2,FALSE))</f>
        <v>0</v>
      </c>
      <c r="I76" s="139">
        <f>IFERROR((IF($C76=1,VLOOKUP($D17,Oppslag!$AB:$AF,3,FALSE),VLOOKUP($D17,Oppslag!$AB:$AF,5,FALSE))*H76),0)</f>
        <v>0</v>
      </c>
      <c r="J76" s="264">
        <f>((IF($D17&gt;0,IF($G17="Måneder",VLOOKUP($D17,Oppslag!$H:$O,5,FALSE())/12,VLOOKUP($D17,Oppslag!$H:$O,5,FALSE)),0))*N17)*(VLOOKUP(N$10,Oppslag!$AP:$AQ,2,FALSE))</f>
        <v>0</v>
      </c>
      <c r="K76" s="264">
        <f>IFERROR((IF($C76=1,VLOOKUP($D17,Oppslag!$AB:$AF,3,FALSE),VLOOKUP($D17,Oppslag!$AB:$AF,5,FALSE))*J76),0)</f>
        <v>0</v>
      </c>
      <c r="L76" s="139">
        <f>((IF($D17&gt;0,IF($G17="Måneder",VLOOKUP($D17,Oppslag!$H:$O,5,FALSE())/12,VLOOKUP($D17,Oppslag!$H:$O,5,FALSE)),0))*P17)*(VLOOKUP(P$10,Oppslag!$AP:$AQ,2,FALSE))</f>
        <v>0</v>
      </c>
      <c r="M76" s="139">
        <f>IFERROR((IF($C76=1,VLOOKUP($D17,Oppslag!$AB:$AF,3,FALSE),VLOOKUP($D17,Oppslag!$AB:$AF,5,FALSE))*L76),0)</f>
        <v>0</v>
      </c>
      <c r="N76" s="264">
        <f>((IF($D17&gt;0,IF($G17="Måneder",VLOOKUP($D17,Oppslag!$H:$O,5,FALSE())/12,VLOOKUP($D17,Oppslag!$H:$O,5,FALSE)),0))*R17)*(VLOOKUP(R$10,Oppslag!$AP:$AQ,2,FALSE))</f>
        <v>0</v>
      </c>
      <c r="O76" s="264">
        <f>IFERROR((IF($C76=1,VLOOKUP($D17,Oppslag!$AB:$AF,3,FALSE),VLOOKUP($D17,Oppslag!$AB:$AF,5,FALSE))*N76),0)</f>
        <v>0</v>
      </c>
      <c r="P76" s="139">
        <f>((IF($D17&gt;0,IF($G17="Måneder",VLOOKUP($D17,Oppslag!$H:$O,5,FALSE())/12,VLOOKUP($D17,Oppslag!$H:$O,5,FALSE)),0))*T17)*(VLOOKUP(T$10,Oppslag!$AP:$AQ,2,FALSE))</f>
        <v>0</v>
      </c>
      <c r="Q76" s="139">
        <f>IFERROR((IF($C76=1,VLOOKUP($D17,Oppslag!$AB:$AF,3,FALSE),VLOOKUP($D17,Oppslag!$AB:$AF,5,FALSE))*P76),0)</f>
        <v>0</v>
      </c>
      <c r="R76" s="264">
        <f>((IF($D17&gt;0,IF($G17="Måneder",VLOOKUP($D17,Oppslag!$H:$O,5,FALSE())/12,VLOOKUP($D17,Oppslag!$H:$O,5,FALSE)),0))*V17)*(VLOOKUP(V$10,Oppslag!$AP:$AQ,2,FALSE))</f>
        <v>0</v>
      </c>
      <c r="S76" s="264">
        <f>IFERROR((IF($C76=1,VLOOKUP($D17,Oppslag!$AB:$AF,3,FALSE),VLOOKUP($D17,Oppslag!$AB:$AF,5,FALSE))*R76),0)</f>
        <v>0</v>
      </c>
      <c r="T76" s="139">
        <f>((IF($D17&gt;0,IF($G17="Måneder",VLOOKUP($D17,Oppslag!$H:$O,5,FALSE())/12,VLOOKUP($D17,Oppslag!$H:$O,5,FALSE)),0))*X17)*(VLOOKUP(X$10,Oppslag!$AP:$AQ,2,FALSE))</f>
        <v>0</v>
      </c>
      <c r="U76" s="139">
        <f>IFERROR((IF($C76=1,VLOOKUP($D17,Oppslag!$AB:$AF,3,FALSE),VLOOKUP($D17,Oppslag!$AB:$AF,5,FALSE))*T76),0)</f>
        <v>0</v>
      </c>
      <c r="V76" s="264">
        <f>((IF($D17&gt;0,IF($G17="Måneder",VLOOKUP($D17,Oppslag!$H:$O,5,FALSE())/12,VLOOKUP($D17,Oppslag!$H:$O,5,FALSE)),0))*Z17)*(VLOOKUP(Z$10,Oppslag!$AP:$AQ,2,FALSE))</f>
        <v>0</v>
      </c>
      <c r="W76" s="264">
        <f>IFERROR((IF($C76=1,VLOOKUP($D17,Oppslag!$AB:$AF,3,FALSE),VLOOKUP($D17,Oppslag!$AB:$AF,5,FALSE))*V76),0)</f>
        <v>0</v>
      </c>
      <c r="X76" s="139">
        <f>((IF($D17&gt;0,IF($G17="Måneder",VLOOKUP($D17,Oppslag!$H:$O,5,FALSE())/12,VLOOKUP($D17,Oppslag!$H:$O,5,FALSE)),0))*AB17)*(VLOOKUP(AB$10,Oppslag!$AP:$AQ,2,FALSE))</f>
        <v>0</v>
      </c>
      <c r="Y76" s="139">
        <f>IFERROR((IF($C76=1,VLOOKUP($D17,Oppslag!$AB:$AF,3,FALSE),VLOOKUP($D17,Oppslag!$AB:$AF,5,FALSE))*X76),0)</f>
        <v>0</v>
      </c>
      <c r="Z76" s="264">
        <f>((IF($D17&gt;0,IF($G17="Måneder",VLOOKUP($D17,Oppslag!$H:$O,5,FALSE())/12,VLOOKUP($D17,Oppslag!$H:$O,5,FALSE)),0))*AD17)*(VLOOKUP(AD$10,Oppslag!$AP:$AQ,2,FALSE))</f>
        <v>0</v>
      </c>
      <c r="AA76" s="264">
        <f>IFERROR((IF($C76=1,VLOOKUP($D17,Oppslag!$AB:$AF,3,FALSE),VLOOKUP($D17,Oppslag!$AB:$AF,5,FALSE))*Z76),0)</f>
        <v>0</v>
      </c>
      <c r="AB76" s="261">
        <f t="shared" si="28"/>
        <v>0</v>
      </c>
    </row>
    <row r="77" spans="1:28" hidden="1" outlineLevel="1" x14ac:dyDescent="0.25">
      <c r="A77" s="177">
        <f t="shared" si="26"/>
        <v>0</v>
      </c>
      <c r="B77" s="177">
        <f t="shared" si="27"/>
        <v>0</v>
      </c>
      <c r="C77">
        <f>IFERROR(VLOOKUP(C18,Oppslag!B:D,3,FALSE),0)</f>
        <v>0</v>
      </c>
      <c r="D77" s="142">
        <f>((IF($D18&gt;0,IF($G18="Måneder",VLOOKUP($D18,Oppslag!$H:$O,5,FALSE())/12,VLOOKUP($D18,Oppslag!$H:$O,5,FALSE)),0))*H18)*(VLOOKUP(H$10,Oppslag!$AP:$AQ,2,FALSE))</f>
        <v>0</v>
      </c>
      <c r="E77" s="139">
        <f>IFERROR((IF($C77=1,VLOOKUP($D18,Oppslag!$AB:$AF,3,FALSE),VLOOKUP($D18,Oppslag!$AB:$AF,5,FALSE))*D77),0)</f>
        <v>0</v>
      </c>
      <c r="F77" s="264">
        <f>((IF($D18&gt;0,IF($G18="Måneder",VLOOKUP($D18,Oppslag!$H:$O,5,FALSE())/12,VLOOKUP($D18,Oppslag!$H:$O,5,FALSE)),0))*J18)*(VLOOKUP(J$10,Oppslag!$AP:$AQ,2,FALSE))</f>
        <v>0</v>
      </c>
      <c r="G77" s="264">
        <f>IFERROR((IF($C77=1,VLOOKUP($D18,Oppslag!$AB:$AF,3,FALSE),VLOOKUP($D18,Oppslag!$AB:$AF,5,FALSE))*F77),0)</f>
        <v>0</v>
      </c>
      <c r="H77" s="139">
        <f>((IF($D18&gt;0,IF($G18="Måneder",VLOOKUP($D18,Oppslag!$H:$O,5,FALSE())/12,VLOOKUP($D18,Oppslag!$H:$O,5,FALSE)),0))*L18)*(VLOOKUP(L$10,Oppslag!$AP:$AQ,2,FALSE))</f>
        <v>0</v>
      </c>
      <c r="I77" s="139">
        <f>IFERROR((IF($C77=1,VLOOKUP($D18,Oppslag!$AB:$AF,3,FALSE),VLOOKUP($D18,Oppslag!$AB:$AF,5,FALSE))*H77),0)</f>
        <v>0</v>
      </c>
      <c r="J77" s="264">
        <f>((IF($D18&gt;0,IF($G18="Måneder",VLOOKUP($D18,Oppslag!$H:$O,5,FALSE())/12,VLOOKUP($D18,Oppslag!$H:$O,5,FALSE)),0))*N18)*(VLOOKUP(N$10,Oppslag!$AP:$AQ,2,FALSE))</f>
        <v>0</v>
      </c>
      <c r="K77" s="264">
        <f>IFERROR((IF($C77=1,VLOOKUP($D18,Oppslag!$AB:$AF,3,FALSE),VLOOKUP($D18,Oppslag!$AB:$AF,5,FALSE))*J77),0)</f>
        <v>0</v>
      </c>
      <c r="L77" s="139">
        <f>((IF($D18&gt;0,IF($G18="Måneder",VLOOKUP($D18,Oppslag!$H:$O,5,FALSE())/12,VLOOKUP($D18,Oppslag!$H:$O,5,FALSE)),0))*P18)*(VLOOKUP(P$10,Oppslag!$AP:$AQ,2,FALSE))</f>
        <v>0</v>
      </c>
      <c r="M77" s="139">
        <f>IFERROR((IF($C77=1,VLOOKUP($D18,Oppslag!$AB:$AF,3,FALSE),VLOOKUP($D18,Oppslag!$AB:$AF,5,FALSE))*L77),0)</f>
        <v>0</v>
      </c>
      <c r="N77" s="264">
        <f>((IF($D18&gt;0,IF($G18="Måneder",VLOOKUP($D18,Oppslag!$H:$O,5,FALSE())/12,VLOOKUP($D18,Oppslag!$H:$O,5,FALSE)),0))*R18)*(VLOOKUP(R$10,Oppslag!$AP:$AQ,2,FALSE))</f>
        <v>0</v>
      </c>
      <c r="O77" s="264">
        <f>IFERROR((IF($C77=1,VLOOKUP($D18,Oppslag!$AB:$AF,3,FALSE),VLOOKUP($D18,Oppslag!$AB:$AF,5,FALSE))*N77),0)</f>
        <v>0</v>
      </c>
      <c r="P77" s="139">
        <f>((IF($D18&gt;0,IF($G18="Måneder",VLOOKUP($D18,Oppslag!$H:$O,5,FALSE())/12,VLOOKUP($D18,Oppslag!$H:$O,5,FALSE)),0))*T18)*(VLOOKUP(T$10,Oppslag!$AP:$AQ,2,FALSE))</f>
        <v>0</v>
      </c>
      <c r="Q77" s="139">
        <f>IFERROR((IF($C77=1,VLOOKUP($D18,Oppslag!$AB:$AF,3,FALSE),VLOOKUP($D18,Oppslag!$AB:$AF,5,FALSE))*P77),0)</f>
        <v>0</v>
      </c>
      <c r="R77" s="264">
        <f>((IF($D18&gt;0,IF($G18="Måneder",VLOOKUP($D18,Oppslag!$H:$O,5,FALSE())/12,VLOOKUP($D18,Oppslag!$H:$O,5,FALSE)),0))*V18)*(VLOOKUP(V$10,Oppslag!$AP:$AQ,2,FALSE))</f>
        <v>0</v>
      </c>
      <c r="S77" s="264">
        <f>IFERROR((IF($C77=1,VLOOKUP($D18,Oppslag!$AB:$AF,3,FALSE),VLOOKUP($D18,Oppslag!$AB:$AF,5,FALSE))*R77),0)</f>
        <v>0</v>
      </c>
      <c r="T77" s="139">
        <f>((IF($D18&gt;0,IF($G18="Måneder",VLOOKUP($D18,Oppslag!$H:$O,5,FALSE())/12,VLOOKUP($D18,Oppslag!$H:$O,5,FALSE)),0))*X18)*(VLOOKUP(X$10,Oppslag!$AP:$AQ,2,FALSE))</f>
        <v>0</v>
      </c>
      <c r="U77" s="139">
        <f>IFERROR((IF($C77=1,VLOOKUP($D18,Oppslag!$AB:$AF,3,FALSE),VLOOKUP($D18,Oppslag!$AB:$AF,5,FALSE))*T77),0)</f>
        <v>0</v>
      </c>
      <c r="V77" s="264">
        <f>((IF($D18&gt;0,IF($G18="Måneder",VLOOKUP($D18,Oppslag!$H:$O,5,FALSE())/12,VLOOKUP($D18,Oppslag!$H:$O,5,FALSE)),0))*Z18)*(VLOOKUP(Z$10,Oppslag!$AP:$AQ,2,FALSE))</f>
        <v>0</v>
      </c>
      <c r="W77" s="264">
        <f>IFERROR((IF($C77=1,VLOOKUP($D18,Oppslag!$AB:$AF,3,FALSE),VLOOKUP($D18,Oppslag!$AB:$AF,5,FALSE))*V77),0)</f>
        <v>0</v>
      </c>
      <c r="X77" s="139">
        <f>((IF($D18&gt;0,IF($G18="Måneder",VLOOKUP($D18,Oppslag!$H:$O,5,FALSE())/12,VLOOKUP($D18,Oppslag!$H:$O,5,FALSE)),0))*AB18)*(VLOOKUP(AB$10,Oppslag!$AP:$AQ,2,FALSE))</f>
        <v>0</v>
      </c>
      <c r="Y77" s="139">
        <f>IFERROR((IF($C77=1,VLOOKUP($D18,Oppslag!$AB:$AF,3,FALSE),VLOOKUP($D18,Oppslag!$AB:$AF,5,FALSE))*X77),0)</f>
        <v>0</v>
      </c>
      <c r="Z77" s="264">
        <f>((IF($D18&gt;0,IF($G18="Måneder",VLOOKUP($D18,Oppslag!$H:$O,5,FALSE())/12,VLOOKUP($D18,Oppslag!$H:$O,5,FALSE)),0))*AD18)*(VLOOKUP(AD$10,Oppslag!$AP:$AQ,2,FALSE))</f>
        <v>0</v>
      </c>
      <c r="AA77" s="264">
        <f>IFERROR((IF($C77=1,VLOOKUP($D18,Oppslag!$AB:$AF,3,FALSE),VLOOKUP($D18,Oppslag!$AB:$AF,5,FALSE))*Z77),0)</f>
        <v>0</v>
      </c>
      <c r="AB77" s="261">
        <f t="shared" si="28"/>
        <v>0</v>
      </c>
    </row>
    <row r="78" spans="1:28" hidden="1" outlineLevel="1" x14ac:dyDescent="0.25">
      <c r="A78" s="177">
        <f t="shared" si="26"/>
        <v>0</v>
      </c>
      <c r="B78" s="177">
        <f t="shared" si="27"/>
        <v>0</v>
      </c>
      <c r="C78">
        <f>IFERROR(VLOOKUP(C19,Oppslag!B:D,3,FALSE),0)</f>
        <v>0</v>
      </c>
      <c r="D78" s="142">
        <f>((IF($D19&gt;0,IF($G19="Måneder",VLOOKUP($D19,Oppslag!$H:$O,5,FALSE())/12,VLOOKUP($D19,Oppslag!$H:$O,5,FALSE)),0))*H19)*(VLOOKUP(H$10,Oppslag!$AP:$AQ,2,FALSE))</f>
        <v>0</v>
      </c>
      <c r="E78" s="139">
        <f>IFERROR((IF($C78=1,VLOOKUP($D19,Oppslag!$AB:$AF,3,FALSE),VLOOKUP($D19,Oppslag!$AB:$AF,5,FALSE))*D78),0)</f>
        <v>0</v>
      </c>
      <c r="F78" s="264">
        <f>((IF($D19&gt;0,IF($G19="Måneder",VLOOKUP($D19,Oppslag!$H:$O,5,FALSE())/12,VLOOKUP($D19,Oppslag!$H:$O,5,FALSE)),0))*J19)*(VLOOKUP(J$10,Oppslag!$AP:$AQ,2,FALSE))</f>
        <v>0</v>
      </c>
      <c r="G78" s="264">
        <f>IFERROR((IF($C78=1,VLOOKUP($D19,Oppslag!$AB:$AF,3,FALSE),VLOOKUP($D19,Oppslag!$AB:$AF,5,FALSE))*F78),0)</f>
        <v>0</v>
      </c>
      <c r="H78" s="139">
        <f>((IF($D19&gt;0,IF($G19="Måneder",VLOOKUP($D19,Oppslag!$H:$O,5,FALSE())/12,VLOOKUP($D19,Oppslag!$H:$O,5,FALSE)),0))*L19)*(VLOOKUP(L$10,Oppslag!$AP:$AQ,2,FALSE))</f>
        <v>0</v>
      </c>
      <c r="I78" s="139">
        <f>IFERROR((IF($C78=1,VLOOKUP($D19,Oppslag!$AB:$AF,3,FALSE),VLOOKUP($D19,Oppslag!$AB:$AF,5,FALSE))*H78),0)</f>
        <v>0</v>
      </c>
      <c r="J78" s="264">
        <f>((IF($D19&gt;0,IF($G19="Måneder",VLOOKUP($D19,Oppslag!$H:$O,5,FALSE())/12,VLOOKUP($D19,Oppslag!$H:$O,5,FALSE)),0))*N19)*(VLOOKUP(N$10,Oppslag!$AP:$AQ,2,FALSE))</f>
        <v>0</v>
      </c>
      <c r="K78" s="264">
        <f>IFERROR((IF($C78=1,VLOOKUP($D19,Oppslag!$AB:$AF,3,FALSE),VLOOKUP($D19,Oppslag!$AB:$AF,5,FALSE))*J78),0)</f>
        <v>0</v>
      </c>
      <c r="L78" s="139">
        <f>((IF($D19&gt;0,IF($G19="Måneder",VLOOKUP($D19,Oppslag!$H:$O,5,FALSE())/12,VLOOKUP($D19,Oppslag!$H:$O,5,FALSE)),0))*P19)*(VLOOKUP(P$10,Oppslag!$AP:$AQ,2,FALSE))</f>
        <v>0</v>
      </c>
      <c r="M78" s="139">
        <f>IFERROR((IF($C78=1,VLOOKUP($D19,Oppslag!$AB:$AF,3,FALSE),VLOOKUP($D19,Oppslag!$AB:$AF,5,FALSE))*L78),0)</f>
        <v>0</v>
      </c>
      <c r="N78" s="264">
        <f>((IF($D19&gt;0,IF($G19="Måneder",VLOOKUP($D19,Oppslag!$H:$O,5,FALSE())/12,VLOOKUP($D19,Oppslag!$H:$O,5,FALSE)),0))*R19)*(VLOOKUP(R$10,Oppslag!$AP:$AQ,2,FALSE))</f>
        <v>0</v>
      </c>
      <c r="O78" s="264">
        <f>IFERROR((IF($C78=1,VLOOKUP($D19,Oppslag!$AB:$AF,3,FALSE),VLOOKUP($D19,Oppslag!$AB:$AF,5,FALSE))*N78),0)</f>
        <v>0</v>
      </c>
      <c r="P78" s="139">
        <f>((IF($D19&gt;0,IF($G19="Måneder",VLOOKUP($D19,Oppslag!$H:$O,5,FALSE())/12,VLOOKUP($D19,Oppslag!$H:$O,5,FALSE)),0))*T19)*(VLOOKUP(T$10,Oppslag!$AP:$AQ,2,FALSE))</f>
        <v>0</v>
      </c>
      <c r="Q78" s="139">
        <f>IFERROR((IF($C78=1,VLOOKUP($D19,Oppslag!$AB:$AF,3,FALSE),VLOOKUP($D19,Oppslag!$AB:$AF,5,FALSE))*P78),0)</f>
        <v>0</v>
      </c>
      <c r="R78" s="264">
        <f>((IF($D19&gt;0,IF($G19="Måneder",VLOOKUP($D19,Oppslag!$H:$O,5,FALSE())/12,VLOOKUP($D19,Oppslag!$H:$O,5,FALSE)),0))*V19)*(VLOOKUP(V$10,Oppslag!$AP:$AQ,2,FALSE))</f>
        <v>0</v>
      </c>
      <c r="S78" s="264">
        <f>IFERROR((IF($C78=1,VLOOKUP($D19,Oppslag!$AB:$AF,3,FALSE),VLOOKUP($D19,Oppslag!$AB:$AF,5,FALSE))*R78),0)</f>
        <v>0</v>
      </c>
      <c r="T78" s="139">
        <f>((IF($D19&gt;0,IF($G19="Måneder",VLOOKUP($D19,Oppslag!$H:$O,5,FALSE())/12,VLOOKUP($D19,Oppslag!$H:$O,5,FALSE)),0))*X19)*(VLOOKUP(X$10,Oppslag!$AP:$AQ,2,FALSE))</f>
        <v>0</v>
      </c>
      <c r="U78" s="139">
        <f>IFERROR((IF($C78=1,VLOOKUP($D19,Oppslag!$AB:$AF,3,FALSE),VLOOKUP($D19,Oppslag!$AB:$AF,5,FALSE))*T78),0)</f>
        <v>0</v>
      </c>
      <c r="V78" s="264">
        <f>((IF($D19&gt;0,IF($G19="Måneder",VLOOKUP($D19,Oppslag!$H:$O,5,FALSE())/12,VLOOKUP($D19,Oppslag!$H:$O,5,FALSE)),0))*Z19)*(VLOOKUP(Z$10,Oppslag!$AP:$AQ,2,FALSE))</f>
        <v>0</v>
      </c>
      <c r="W78" s="264">
        <f>IFERROR((IF($C78=1,VLOOKUP($D19,Oppslag!$AB:$AF,3,FALSE),VLOOKUP($D19,Oppslag!$AB:$AF,5,FALSE))*V78),0)</f>
        <v>0</v>
      </c>
      <c r="X78" s="139">
        <f>((IF($D19&gt;0,IF($G19="Måneder",VLOOKUP($D19,Oppslag!$H:$O,5,FALSE())/12,VLOOKUP($D19,Oppslag!$H:$O,5,FALSE)),0))*AB19)*(VLOOKUP(AB$10,Oppslag!$AP:$AQ,2,FALSE))</f>
        <v>0</v>
      </c>
      <c r="Y78" s="139">
        <f>IFERROR((IF($C78=1,VLOOKUP($D19,Oppslag!$AB:$AF,3,FALSE),VLOOKUP($D19,Oppslag!$AB:$AF,5,FALSE))*X78),0)</f>
        <v>0</v>
      </c>
      <c r="Z78" s="264">
        <f>((IF($D19&gt;0,IF($G19="Måneder",VLOOKUP($D19,Oppslag!$H:$O,5,FALSE())/12,VLOOKUP($D19,Oppslag!$H:$O,5,FALSE)),0))*AD19)*(VLOOKUP(AD$10,Oppslag!$AP:$AQ,2,FALSE))</f>
        <v>0</v>
      </c>
      <c r="AA78" s="264">
        <f>IFERROR((IF($C78=1,VLOOKUP($D19,Oppslag!$AB:$AF,3,FALSE),VLOOKUP($D19,Oppslag!$AB:$AF,5,FALSE))*Z78),0)</f>
        <v>0</v>
      </c>
      <c r="AB78" s="261">
        <f t="shared" si="28"/>
        <v>0</v>
      </c>
    </row>
    <row r="79" spans="1:28" hidden="1" outlineLevel="1" x14ac:dyDescent="0.25">
      <c r="A79" s="177">
        <f t="shared" si="26"/>
        <v>0</v>
      </c>
      <c r="B79" s="177">
        <f t="shared" si="27"/>
        <v>0</v>
      </c>
      <c r="C79">
        <f>IFERROR(VLOOKUP(C20,Oppslag!B:D,3,FALSE),0)</f>
        <v>0</v>
      </c>
      <c r="D79" s="142">
        <f>((IF($D20&gt;0,IF($G20="Måneder",VLOOKUP($D20,Oppslag!$H:$O,5,FALSE())/12,VLOOKUP($D20,Oppslag!$H:$O,5,FALSE)),0))*H20)*(VLOOKUP(H$10,Oppslag!$AP:$AQ,2,FALSE))</f>
        <v>0</v>
      </c>
      <c r="E79" s="139">
        <f>IFERROR((IF($C79=1,VLOOKUP($D20,Oppslag!$AB:$AF,3,FALSE),VLOOKUP($D20,Oppslag!$AB:$AF,5,FALSE))*D79),0)</f>
        <v>0</v>
      </c>
      <c r="F79" s="264">
        <f>((IF($D20&gt;0,IF($G20="Måneder",VLOOKUP($D20,Oppslag!$H:$O,5,FALSE())/12,VLOOKUP($D20,Oppslag!$H:$O,5,FALSE)),0))*J20)*(VLOOKUP(J$10,Oppslag!$AP:$AQ,2,FALSE))</f>
        <v>0</v>
      </c>
      <c r="G79" s="264">
        <f>IFERROR((IF($C79=1,VLOOKUP($D20,Oppslag!$AB:$AF,3,FALSE),VLOOKUP($D20,Oppslag!$AB:$AF,5,FALSE))*F79),0)</f>
        <v>0</v>
      </c>
      <c r="H79" s="139">
        <f>((IF($D20&gt;0,IF($G20="Måneder",VLOOKUP($D20,Oppslag!$H:$O,5,FALSE())/12,VLOOKUP($D20,Oppslag!$H:$O,5,FALSE)),0))*L20)*(VLOOKUP(L$10,Oppslag!$AP:$AQ,2,FALSE))</f>
        <v>0</v>
      </c>
      <c r="I79" s="139">
        <f>IFERROR((IF($C79=1,VLOOKUP($D20,Oppslag!$AB:$AF,3,FALSE),VLOOKUP($D20,Oppslag!$AB:$AF,5,FALSE))*H79),0)</f>
        <v>0</v>
      </c>
      <c r="J79" s="264">
        <f>((IF($D20&gt;0,IF($G20="Måneder",VLOOKUP($D20,Oppslag!$H:$O,5,FALSE())/12,VLOOKUP($D20,Oppslag!$H:$O,5,FALSE)),0))*N20)*(VLOOKUP(N$10,Oppslag!$AP:$AQ,2,FALSE))</f>
        <v>0</v>
      </c>
      <c r="K79" s="264">
        <f>IFERROR((IF($C79=1,VLOOKUP($D20,Oppslag!$AB:$AF,3,FALSE),VLOOKUP($D20,Oppslag!$AB:$AF,5,FALSE))*J79),0)</f>
        <v>0</v>
      </c>
      <c r="L79" s="139">
        <f>((IF($D20&gt;0,IF($G20="Måneder",VLOOKUP($D20,Oppslag!$H:$O,5,FALSE())/12,VLOOKUP($D20,Oppslag!$H:$O,5,FALSE)),0))*P20)*(VLOOKUP(P$10,Oppslag!$AP:$AQ,2,FALSE))</f>
        <v>0</v>
      </c>
      <c r="M79" s="139">
        <f>IFERROR((IF($C79=1,VLOOKUP($D20,Oppslag!$AB:$AF,3,FALSE),VLOOKUP($D20,Oppslag!$AB:$AF,5,FALSE))*L79),0)</f>
        <v>0</v>
      </c>
      <c r="N79" s="264">
        <f>((IF($D20&gt;0,IF($G20="Måneder",VLOOKUP($D20,Oppslag!$H:$O,5,FALSE())/12,VLOOKUP($D20,Oppslag!$H:$O,5,FALSE)),0))*R20)*(VLOOKUP(R$10,Oppslag!$AP:$AQ,2,FALSE))</f>
        <v>0</v>
      </c>
      <c r="O79" s="264">
        <f>IFERROR((IF($C79=1,VLOOKUP($D20,Oppslag!$AB:$AF,3,FALSE),VLOOKUP($D20,Oppslag!$AB:$AF,5,FALSE))*N79),0)</f>
        <v>0</v>
      </c>
      <c r="P79" s="139">
        <f>((IF($D20&gt;0,IF($G20="Måneder",VLOOKUP($D20,Oppslag!$H:$O,5,FALSE())/12,VLOOKUP($D20,Oppslag!$H:$O,5,FALSE)),0))*T20)*(VLOOKUP(T$10,Oppslag!$AP:$AQ,2,FALSE))</f>
        <v>0</v>
      </c>
      <c r="Q79" s="139">
        <f>IFERROR((IF($C79=1,VLOOKUP($D20,Oppslag!$AB:$AF,3,FALSE),VLOOKUP($D20,Oppslag!$AB:$AF,5,FALSE))*P79),0)</f>
        <v>0</v>
      </c>
      <c r="R79" s="264">
        <f>((IF($D20&gt;0,IF($G20="Måneder",VLOOKUP($D20,Oppslag!$H:$O,5,FALSE())/12,VLOOKUP($D20,Oppslag!$H:$O,5,FALSE)),0))*V20)*(VLOOKUP(V$10,Oppslag!$AP:$AQ,2,FALSE))</f>
        <v>0</v>
      </c>
      <c r="S79" s="264">
        <f>IFERROR((IF($C79=1,VLOOKUP($D20,Oppslag!$AB:$AF,3,FALSE),VLOOKUP($D20,Oppslag!$AB:$AF,5,FALSE))*R79),0)</f>
        <v>0</v>
      </c>
      <c r="T79" s="139">
        <f>((IF($D20&gt;0,IF($G20="Måneder",VLOOKUP($D20,Oppslag!$H:$O,5,FALSE())/12,VLOOKUP($D20,Oppslag!$H:$O,5,FALSE)),0))*X20)*(VLOOKUP(X$10,Oppslag!$AP:$AQ,2,FALSE))</f>
        <v>0</v>
      </c>
      <c r="U79" s="139">
        <f>IFERROR((IF($C79=1,VLOOKUP($D20,Oppslag!$AB:$AF,3,FALSE),VLOOKUP($D20,Oppslag!$AB:$AF,5,FALSE))*T79),0)</f>
        <v>0</v>
      </c>
      <c r="V79" s="264">
        <f>((IF($D20&gt;0,IF($G20="Måneder",VLOOKUP($D20,Oppslag!$H:$O,5,FALSE())/12,VLOOKUP($D20,Oppslag!$H:$O,5,FALSE)),0))*Z20)*(VLOOKUP(Z$10,Oppslag!$AP:$AQ,2,FALSE))</f>
        <v>0</v>
      </c>
      <c r="W79" s="264">
        <f>IFERROR((IF($C79=1,VLOOKUP($D20,Oppslag!$AB:$AF,3,FALSE),VLOOKUP($D20,Oppslag!$AB:$AF,5,FALSE))*V79),0)</f>
        <v>0</v>
      </c>
      <c r="X79" s="139">
        <f>((IF($D20&gt;0,IF($G20="Måneder",VLOOKUP($D20,Oppslag!$H:$O,5,FALSE())/12,VLOOKUP($D20,Oppslag!$H:$O,5,FALSE)),0))*AB20)*(VLOOKUP(AB$10,Oppslag!$AP:$AQ,2,FALSE))</f>
        <v>0</v>
      </c>
      <c r="Y79" s="139">
        <f>IFERROR((IF($C79=1,VLOOKUP($D20,Oppslag!$AB:$AF,3,FALSE),VLOOKUP($D20,Oppslag!$AB:$AF,5,FALSE))*X79),0)</f>
        <v>0</v>
      </c>
      <c r="Z79" s="264">
        <f>((IF($D20&gt;0,IF($G20="Måneder",VLOOKUP($D20,Oppslag!$H:$O,5,FALSE())/12,VLOOKUP($D20,Oppslag!$H:$O,5,FALSE)),0))*AD20)*(VLOOKUP(AD$10,Oppslag!$AP:$AQ,2,FALSE))</f>
        <v>0</v>
      </c>
      <c r="AA79" s="264">
        <f>IFERROR((IF($C79=1,VLOOKUP($D20,Oppslag!$AB:$AF,3,FALSE),VLOOKUP($D20,Oppslag!$AB:$AF,5,FALSE))*Z79),0)</f>
        <v>0</v>
      </c>
      <c r="AB79" s="261">
        <f t="shared" si="28"/>
        <v>0</v>
      </c>
    </row>
    <row r="80" spans="1:28" hidden="1" outlineLevel="1" x14ac:dyDescent="0.25">
      <c r="A80" s="177">
        <f t="shared" si="26"/>
        <v>0</v>
      </c>
      <c r="B80" s="177">
        <f t="shared" si="27"/>
        <v>0</v>
      </c>
      <c r="C80">
        <f>IFERROR(VLOOKUP(C21,Oppslag!B:D,3,FALSE),0)</f>
        <v>0</v>
      </c>
      <c r="D80" s="142">
        <f>((IF($D21&gt;0,IF($G21="Måneder",VLOOKUP($D21,Oppslag!$H:$O,5,FALSE())/12,VLOOKUP($D21,Oppslag!$H:$O,5,FALSE)),0))*H21)*(VLOOKUP(H$10,Oppslag!$AP:$AQ,2,FALSE))</f>
        <v>0</v>
      </c>
      <c r="E80" s="139">
        <f>IFERROR((IF($C80=1,VLOOKUP($D21,Oppslag!$AB:$AF,3,FALSE),VLOOKUP($D21,Oppslag!$AB:$AF,5,FALSE))*D80),0)</f>
        <v>0</v>
      </c>
      <c r="F80" s="264">
        <f>((IF($D21&gt;0,IF($G21="Måneder",VLOOKUP($D21,Oppslag!$H:$O,5,FALSE())/12,VLOOKUP($D21,Oppslag!$H:$O,5,FALSE)),0))*J21)*(VLOOKUP(J$10,Oppslag!$AP:$AQ,2,FALSE))</f>
        <v>0</v>
      </c>
      <c r="G80" s="264">
        <f>IFERROR((IF($C80=1,VLOOKUP($D21,Oppslag!$AB:$AF,3,FALSE),VLOOKUP($D21,Oppslag!$AB:$AF,5,FALSE))*F80),0)</f>
        <v>0</v>
      </c>
      <c r="H80" s="139">
        <f>((IF($D21&gt;0,IF($G21="Måneder",VLOOKUP($D21,Oppslag!$H:$O,5,FALSE())/12,VLOOKUP($D21,Oppslag!$H:$O,5,FALSE)),0))*L21)*(VLOOKUP(L$10,Oppslag!$AP:$AQ,2,FALSE))</f>
        <v>0</v>
      </c>
      <c r="I80" s="139">
        <f>IFERROR((IF($C80=1,VLOOKUP($D21,Oppslag!$AB:$AF,3,FALSE),VLOOKUP($D21,Oppslag!$AB:$AF,5,FALSE))*H80),0)</f>
        <v>0</v>
      </c>
      <c r="J80" s="264">
        <f>((IF($D21&gt;0,IF($G21="Måneder",VLOOKUP($D21,Oppslag!$H:$O,5,FALSE())/12,VLOOKUP($D21,Oppslag!$H:$O,5,FALSE)),0))*N21)*(VLOOKUP(N$10,Oppslag!$AP:$AQ,2,FALSE))</f>
        <v>0</v>
      </c>
      <c r="K80" s="264">
        <f>IFERROR((IF($C80=1,VLOOKUP($D21,Oppslag!$AB:$AF,3,FALSE),VLOOKUP($D21,Oppslag!$AB:$AF,5,FALSE))*J80),0)</f>
        <v>0</v>
      </c>
      <c r="L80" s="139">
        <f>((IF($D21&gt;0,IF($G21="Måneder",VLOOKUP($D21,Oppslag!$H:$O,5,FALSE())/12,VLOOKUP($D21,Oppslag!$H:$O,5,FALSE)),0))*P21)*(VLOOKUP(P$10,Oppslag!$AP:$AQ,2,FALSE))</f>
        <v>0</v>
      </c>
      <c r="M80" s="139">
        <f>IFERROR((IF($C80=1,VLOOKUP($D21,Oppslag!$AB:$AF,3,FALSE),VLOOKUP($D21,Oppslag!$AB:$AF,5,FALSE))*L80),0)</f>
        <v>0</v>
      </c>
      <c r="N80" s="264">
        <f>((IF($D21&gt;0,IF($G21="Måneder",VLOOKUP($D21,Oppslag!$H:$O,5,FALSE())/12,VLOOKUP($D21,Oppslag!$H:$O,5,FALSE)),0))*R21)*(VLOOKUP(R$10,Oppslag!$AP:$AQ,2,FALSE))</f>
        <v>0</v>
      </c>
      <c r="O80" s="264">
        <f>IFERROR((IF($C80=1,VLOOKUP($D21,Oppslag!$AB:$AF,3,FALSE),VLOOKUP($D21,Oppslag!$AB:$AF,5,FALSE))*N80),0)</f>
        <v>0</v>
      </c>
      <c r="P80" s="139">
        <f>((IF($D21&gt;0,IF($G21="Måneder",VLOOKUP($D21,Oppslag!$H:$O,5,FALSE())/12,VLOOKUP($D21,Oppslag!$H:$O,5,FALSE)),0))*T21)*(VLOOKUP(T$10,Oppslag!$AP:$AQ,2,FALSE))</f>
        <v>0</v>
      </c>
      <c r="Q80" s="139">
        <f>IFERROR((IF($C80=1,VLOOKUP($D21,Oppslag!$AB:$AF,3,FALSE),VLOOKUP($D21,Oppslag!$AB:$AF,5,FALSE))*P80),0)</f>
        <v>0</v>
      </c>
      <c r="R80" s="264">
        <f>((IF($D21&gt;0,IF($G21="Måneder",VLOOKUP($D21,Oppslag!$H:$O,5,FALSE())/12,VLOOKUP($D21,Oppslag!$H:$O,5,FALSE)),0))*V21)*(VLOOKUP(V$10,Oppslag!$AP:$AQ,2,FALSE))</f>
        <v>0</v>
      </c>
      <c r="S80" s="264">
        <f>IFERROR((IF($C80=1,VLOOKUP($D21,Oppslag!$AB:$AF,3,FALSE),VLOOKUP($D21,Oppslag!$AB:$AF,5,FALSE))*R80),0)</f>
        <v>0</v>
      </c>
      <c r="T80" s="139">
        <f>((IF($D21&gt;0,IF($G21="Måneder",VLOOKUP($D21,Oppslag!$H:$O,5,FALSE())/12,VLOOKUP($D21,Oppslag!$H:$O,5,FALSE)),0))*X21)*(VLOOKUP(X$10,Oppslag!$AP:$AQ,2,FALSE))</f>
        <v>0</v>
      </c>
      <c r="U80" s="139">
        <f>IFERROR((IF($C80=1,VLOOKUP($D21,Oppslag!$AB:$AF,3,FALSE),VLOOKUP($D21,Oppslag!$AB:$AF,5,FALSE))*T80),0)</f>
        <v>0</v>
      </c>
      <c r="V80" s="264">
        <f>((IF($D21&gt;0,IF($G21="Måneder",VLOOKUP($D21,Oppslag!$H:$O,5,FALSE())/12,VLOOKUP($D21,Oppslag!$H:$O,5,FALSE)),0))*Z21)*(VLOOKUP(Z$10,Oppslag!$AP:$AQ,2,FALSE))</f>
        <v>0</v>
      </c>
      <c r="W80" s="264">
        <f>IFERROR((IF($C80=1,VLOOKUP($D21,Oppslag!$AB:$AF,3,FALSE),VLOOKUP($D21,Oppslag!$AB:$AF,5,FALSE))*V80),0)</f>
        <v>0</v>
      </c>
      <c r="X80" s="139">
        <f>((IF($D21&gt;0,IF($G21="Måneder",VLOOKUP($D21,Oppslag!$H:$O,5,FALSE())/12,VLOOKUP($D21,Oppslag!$H:$O,5,FALSE)),0))*AB21)*(VLOOKUP(AB$10,Oppslag!$AP:$AQ,2,FALSE))</f>
        <v>0</v>
      </c>
      <c r="Y80" s="139">
        <f>IFERROR((IF($C80=1,VLOOKUP($D21,Oppslag!$AB:$AF,3,FALSE),VLOOKUP($D21,Oppslag!$AB:$AF,5,FALSE))*X80),0)</f>
        <v>0</v>
      </c>
      <c r="Z80" s="264">
        <f>((IF($D21&gt;0,IF($G21="Måneder",VLOOKUP($D21,Oppslag!$H:$O,5,FALSE())/12,VLOOKUP($D21,Oppslag!$H:$O,5,FALSE)),0))*AD21)*(VLOOKUP(AD$10,Oppslag!$AP:$AQ,2,FALSE))</f>
        <v>0</v>
      </c>
      <c r="AA80" s="264">
        <f>IFERROR((IF($C80=1,VLOOKUP($D21,Oppslag!$AB:$AF,3,FALSE),VLOOKUP($D21,Oppslag!$AB:$AF,5,FALSE))*Z80),0)</f>
        <v>0</v>
      </c>
      <c r="AB80" s="261">
        <f t="shared" si="28"/>
        <v>0</v>
      </c>
    </row>
    <row r="81" spans="1:28" hidden="1" outlineLevel="1" x14ac:dyDescent="0.25">
      <c r="A81" s="177">
        <f t="shared" si="26"/>
        <v>0</v>
      </c>
      <c r="B81" s="177">
        <f t="shared" si="27"/>
        <v>0</v>
      </c>
      <c r="C81">
        <f>IFERROR(VLOOKUP(C22,Oppslag!B:D,3,FALSE),0)</f>
        <v>0</v>
      </c>
      <c r="D81" s="142">
        <f>((IF($D22&gt;0,IF($G22="Måneder",VLOOKUP($D22,Oppslag!$H:$O,5,FALSE())/12,VLOOKUP($D22,Oppslag!$H:$O,5,FALSE)),0))*H22)*(VLOOKUP(H$10,Oppslag!$AP:$AQ,2,FALSE))</f>
        <v>0</v>
      </c>
      <c r="E81" s="139">
        <f>IFERROR((IF($C81=1,VLOOKUP($D22,Oppslag!$AB:$AF,3,FALSE),VLOOKUP($D22,Oppslag!$AB:$AF,5,FALSE))*D81),0)</f>
        <v>0</v>
      </c>
      <c r="F81" s="264">
        <f>((IF($D22&gt;0,IF($G22="Måneder",VLOOKUP($D22,Oppslag!$H:$O,5,FALSE())/12,VLOOKUP($D22,Oppslag!$H:$O,5,FALSE)),0))*J22)*(VLOOKUP(J$10,Oppslag!$AP:$AQ,2,FALSE))</f>
        <v>0</v>
      </c>
      <c r="G81" s="264">
        <f>IFERROR((IF($C81=1,VLOOKUP($D22,Oppslag!$AB:$AF,3,FALSE),VLOOKUP($D22,Oppslag!$AB:$AF,5,FALSE))*F81),0)</f>
        <v>0</v>
      </c>
      <c r="H81" s="139">
        <f>((IF($D22&gt;0,IF($G22="Måneder",VLOOKUP($D22,Oppslag!$H:$O,5,FALSE())/12,VLOOKUP($D22,Oppslag!$H:$O,5,FALSE)),0))*L22)*(VLOOKUP(L$10,Oppslag!$AP:$AQ,2,FALSE))</f>
        <v>0</v>
      </c>
      <c r="I81" s="139">
        <f>IFERROR((IF($C81=1,VLOOKUP($D22,Oppslag!$AB:$AF,3,FALSE),VLOOKUP($D22,Oppslag!$AB:$AF,5,FALSE))*H81),0)</f>
        <v>0</v>
      </c>
      <c r="J81" s="264">
        <f>((IF($D22&gt;0,IF($G22="Måneder",VLOOKUP($D22,Oppslag!$H:$O,5,FALSE())/12,VLOOKUP($D22,Oppslag!$H:$O,5,FALSE)),0))*N22)*(VLOOKUP(N$10,Oppslag!$AP:$AQ,2,FALSE))</f>
        <v>0</v>
      </c>
      <c r="K81" s="264">
        <f>IFERROR((IF($C81=1,VLOOKUP($D22,Oppslag!$AB:$AF,3,FALSE),VLOOKUP($D22,Oppslag!$AB:$AF,5,FALSE))*J81),0)</f>
        <v>0</v>
      </c>
      <c r="L81" s="139">
        <f>((IF($D22&gt;0,IF($G22="Måneder",VLOOKUP($D22,Oppslag!$H:$O,5,FALSE())/12,VLOOKUP($D22,Oppslag!$H:$O,5,FALSE)),0))*P22)*(VLOOKUP(P$10,Oppslag!$AP:$AQ,2,FALSE))</f>
        <v>0</v>
      </c>
      <c r="M81" s="139">
        <f>IFERROR((IF($C81=1,VLOOKUP($D22,Oppslag!$AB:$AF,3,FALSE),VLOOKUP($D22,Oppslag!$AB:$AF,5,FALSE))*L81),0)</f>
        <v>0</v>
      </c>
      <c r="N81" s="264">
        <f>((IF($D22&gt;0,IF($G22="Måneder",VLOOKUP($D22,Oppslag!$H:$O,5,FALSE())/12,VLOOKUP($D22,Oppslag!$H:$O,5,FALSE)),0))*R22)*(VLOOKUP(R$10,Oppslag!$AP:$AQ,2,FALSE))</f>
        <v>0</v>
      </c>
      <c r="O81" s="264">
        <f>IFERROR((IF($C81=1,VLOOKUP($D22,Oppslag!$AB:$AF,3,FALSE),VLOOKUP($D22,Oppslag!$AB:$AF,5,FALSE))*N81),0)</f>
        <v>0</v>
      </c>
      <c r="P81" s="139">
        <f>((IF($D22&gt;0,IF($G22="Måneder",VLOOKUP($D22,Oppslag!$H:$O,5,FALSE())/12,VLOOKUP($D22,Oppslag!$H:$O,5,FALSE)),0))*T22)*(VLOOKUP(T$10,Oppslag!$AP:$AQ,2,FALSE))</f>
        <v>0</v>
      </c>
      <c r="Q81" s="139">
        <f>IFERROR((IF($C81=1,VLOOKUP($D22,Oppslag!$AB:$AF,3,FALSE),VLOOKUP($D22,Oppslag!$AB:$AF,5,FALSE))*P81),0)</f>
        <v>0</v>
      </c>
      <c r="R81" s="264">
        <f>((IF($D22&gt;0,IF($G22="Måneder",VLOOKUP($D22,Oppslag!$H:$O,5,FALSE())/12,VLOOKUP($D22,Oppslag!$H:$O,5,FALSE)),0))*V22)*(VLOOKUP(V$10,Oppslag!$AP:$AQ,2,FALSE))</f>
        <v>0</v>
      </c>
      <c r="S81" s="264">
        <f>IFERROR((IF($C81=1,VLOOKUP($D22,Oppslag!$AB:$AF,3,FALSE),VLOOKUP($D22,Oppslag!$AB:$AF,5,FALSE))*R81),0)</f>
        <v>0</v>
      </c>
      <c r="T81" s="139">
        <f>((IF($D22&gt;0,IF($G22="Måneder",VLOOKUP($D22,Oppslag!$H:$O,5,FALSE())/12,VLOOKUP($D22,Oppslag!$H:$O,5,FALSE)),0))*X22)*(VLOOKUP(X$10,Oppslag!$AP:$AQ,2,FALSE))</f>
        <v>0</v>
      </c>
      <c r="U81" s="139">
        <f>IFERROR((IF($C81=1,VLOOKUP($D22,Oppslag!$AB:$AF,3,FALSE),VLOOKUP($D22,Oppslag!$AB:$AF,5,FALSE))*T81),0)</f>
        <v>0</v>
      </c>
      <c r="V81" s="264">
        <f>((IF($D22&gt;0,IF($G22="Måneder",VLOOKUP($D22,Oppslag!$H:$O,5,FALSE())/12,VLOOKUP($D22,Oppslag!$H:$O,5,FALSE)),0))*Z22)*(VLOOKUP(Z$10,Oppslag!$AP:$AQ,2,FALSE))</f>
        <v>0</v>
      </c>
      <c r="W81" s="264">
        <f>IFERROR((IF($C81=1,VLOOKUP($D22,Oppslag!$AB:$AF,3,FALSE),VLOOKUP($D22,Oppslag!$AB:$AF,5,FALSE))*V81),0)</f>
        <v>0</v>
      </c>
      <c r="X81" s="139">
        <f>((IF($D22&gt;0,IF($G22="Måneder",VLOOKUP($D22,Oppslag!$H:$O,5,FALSE())/12,VLOOKUP($D22,Oppslag!$H:$O,5,FALSE)),0))*AB22)*(VLOOKUP(AB$10,Oppslag!$AP:$AQ,2,FALSE))</f>
        <v>0</v>
      </c>
      <c r="Y81" s="139">
        <f>IFERROR((IF($C81=1,VLOOKUP($D22,Oppslag!$AB:$AF,3,FALSE),VLOOKUP($D22,Oppslag!$AB:$AF,5,FALSE))*X81),0)</f>
        <v>0</v>
      </c>
      <c r="Z81" s="264">
        <f>((IF($D22&gt;0,IF($G22="Måneder",VLOOKUP($D22,Oppslag!$H:$O,5,FALSE())/12,VLOOKUP($D22,Oppslag!$H:$O,5,FALSE)),0))*AD22)*(VLOOKUP(AD$10,Oppslag!$AP:$AQ,2,FALSE))</f>
        <v>0</v>
      </c>
      <c r="AA81" s="264">
        <f>IFERROR((IF($C81=1,VLOOKUP($D22,Oppslag!$AB:$AF,3,FALSE),VLOOKUP($D22,Oppslag!$AB:$AF,5,FALSE))*Z81),0)</f>
        <v>0</v>
      </c>
      <c r="AB81" s="261">
        <f t="shared" si="28"/>
        <v>0</v>
      </c>
    </row>
    <row r="82" spans="1:28" hidden="1" outlineLevel="1" x14ac:dyDescent="0.25">
      <c r="A82" s="177">
        <f t="shared" si="26"/>
        <v>0</v>
      </c>
      <c r="B82" s="177">
        <f t="shared" si="27"/>
        <v>0</v>
      </c>
      <c r="C82">
        <f>IFERROR(VLOOKUP(C23,Oppslag!B:D,3,FALSE),0)</f>
        <v>0</v>
      </c>
      <c r="D82" s="142">
        <f>((IF($D23&gt;0,IF($G23="Måneder",VLOOKUP($D23,Oppslag!$H:$O,5,FALSE())/12,VLOOKUP($D23,Oppslag!$H:$O,5,FALSE)),0))*H23)*(VLOOKUP(H$10,Oppslag!$AP:$AQ,2,FALSE))</f>
        <v>0</v>
      </c>
      <c r="E82" s="139">
        <f>IFERROR((IF($C82=1,VLOOKUP($D23,Oppslag!$AB:$AF,3,FALSE),VLOOKUP($D23,Oppslag!$AB:$AF,5,FALSE))*D82),0)</f>
        <v>0</v>
      </c>
      <c r="F82" s="264">
        <f>((IF($D23&gt;0,IF($G23="Måneder",VLOOKUP($D23,Oppslag!$H:$O,5,FALSE())/12,VLOOKUP($D23,Oppslag!$H:$O,5,FALSE)),0))*J23)*(VLOOKUP(J$10,Oppslag!$AP:$AQ,2,FALSE))</f>
        <v>0</v>
      </c>
      <c r="G82" s="264">
        <f>IFERROR((IF($C82=1,VLOOKUP($D23,Oppslag!$AB:$AF,3,FALSE),VLOOKUP($D23,Oppslag!$AB:$AF,5,FALSE))*F82),0)</f>
        <v>0</v>
      </c>
      <c r="H82" s="139">
        <f>((IF($D23&gt;0,IF($G23="Måneder",VLOOKUP($D23,Oppslag!$H:$O,5,FALSE())/12,VLOOKUP($D23,Oppslag!$H:$O,5,FALSE)),0))*L23)*(VLOOKUP(L$10,Oppslag!$AP:$AQ,2,FALSE))</f>
        <v>0</v>
      </c>
      <c r="I82" s="139">
        <f>IFERROR((IF($C82=1,VLOOKUP($D23,Oppslag!$AB:$AF,3,FALSE),VLOOKUP($D23,Oppslag!$AB:$AF,5,FALSE))*H82),0)</f>
        <v>0</v>
      </c>
      <c r="J82" s="264">
        <f>((IF($D23&gt;0,IF($G23="Måneder",VLOOKUP($D23,Oppslag!$H:$O,5,FALSE())/12,VLOOKUP($D23,Oppslag!$H:$O,5,FALSE)),0))*N23)*(VLOOKUP(N$10,Oppslag!$AP:$AQ,2,FALSE))</f>
        <v>0</v>
      </c>
      <c r="K82" s="264">
        <f>IFERROR((IF($C82=1,VLOOKUP($D23,Oppslag!$AB:$AF,3,FALSE),VLOOKUP($D23,Oppslag!$AB:$AF,5,FALSE))*J82),0)</f>
        <v>0</v>
      </c>
      <c r="L82" s="139">
        <f>((IF($D23&gt;0,IF($G23="Måneder",VLOOKUP($D23,Oppslag!$H:$O,5,FALSE())/12,VLOOKUP($D23,Oppslag!$H:$O,5,FALSE)),0))*P23)*(VLOOKUP(P$10,Oppslag!$AP:$AQ,2,FALSE))</f>
        <v>0</v>
      </c>
      <c r="M82" s="139">
        <f>IFERROR((IF($C82=1,VLOOKUP($D23,Oppslag!$AB:$AF,3,FALSE),VLOOKUP($D23,Oppslag!$AB:$AF,5,FALSE))*L82),0)</f>
        <v>0</v>
      </c>
      <c r="N82" s="264">
        <f>((IF($D23&gt;0,IF($G23="Måneder",VLOOKUP($D23,Oppslag!$H:$O,5,FALSE())/12,VLOOKUP($D23,Oppslag!$H:$O,5,FALSE)),0))*R23)*(VLOOKUP(R$10,Oppslag!$AP:$AQ,2,FALSE))</f>
        <v>0</v>
      </c>
      <c r="O82" s="264">
        <f>IFERROR((IF($C82=1,VLOOKUP($D23,Oppslag!$AB:$AF,3,FALSE),VLOOKUP($D23,Oppslag!$AB:$AF,5,FALSE))*N82),0)</f>
        <v>0</v>
      </c>
      <c r="P82" s="139">
        <f>((IF($D23&gt;0,IF($G23="Måneder",VLOOKUP($D23,Oppslag!$H:$O,5,FALSE())/12,VLOOKUP($D23,Oppslag!$H:$O,5,FALSE)),0))*T23)*(VLOOKUP(T$10,Oppslag!$AP:$AQ,2,FALSE))</f>
        <v>0</v>
      </c>
      <c r="Q82" s="139">
        <f>IFERROR((IF($C82=1,VLOOKUP($D23,Oppslag!$AB:$AF,3,FALSE),VLOOKUP($D23,Oppslag!$AB:$AF,5,FALSE))*P82),0)</f>
        <v>0</v>
      </c>
      <c r="R82" s="264">
        <f>((IF($D23&gt;0,IF($G23="Måneder",VLOOKUP($D23,Oppslag!$H:$O,5,FALSE())/12,VLOOKUP($D23,Oppslag!$H:$O,5,FALSE)),0))*V23)*(VLOOKUP(V$10,Oppslag!$AP:$AQ,2,FALSE))</f>
        <v>0</v>
      </c>
      <c r="S82" s="264">
        <f>IFERROR((IF($C82=1,VLOOKUP($D23,Oppslag!$AB:$AF,3,FALSE),VLOOKUP($D23,Oppslag!$AB:$AF,5,FALSE))*R82),0)</f>
        <v>0</v>
      </c>
      <c r="T82" s="139">
        <f>((IF($D23&gt;0,IF($G23="Måneder",VLOOKUP($D23,Oppslag!$H:$O,5,FALSE())/12,VLOOKUP($D23,Oppslag!$H:$O,5,FALSE)),0))*X23)*(VLOOKUP(X$10,Oppslag!$AP:$AQ,2,FALSE))</f>
        <v>0</v>
      </c>
      <c r="U82" s="139">
        <f>IFERROR((IF($C82=1,VLOOKUP($D23,Oppslag!$AB:$AF,3,FALSE),VLOOKUP($D23,Oppslag!$AB:$AF,5,FALSE))*T82),0)</f>
        <v>0</v>
      </c>
      <c r="V82" s="264">
        <f>((IF($D23&gt;0,IF($G23="Måneder",VLOOKUP($D23,Oppslag!$H:$O,5,FALSE())/12,VLOOKUP($D23,Oppslag!$H:$O,5,FALSE)),0))*Z23)*(VLOOKUP(Z$10,Oppslag!$AP:$AQ,2,FALSE))</f>
        <v>0</v>
      </c>
      <c r="W82" s="264">
        <f>IFERROR((IF($C82=1,VLOOKUP($D23,Oppslag!$AB:$AF,3,FALSE),VLOOKUP($D23,Oppslag!$AB:$AF,5,FALSE))*V82),0)</f>
        <v>0</v>
      </c>
      <c r="X82" s="139">
        <f>((IF($D23&gt;0,IF($G23="Måneder",VLOOKUP($D23,Oppslag!$H:$O,5,FALSE())/12,VLOOKUP($D23,Oppslag!$H:$O,5,FALSE)),0))*AB23)*(VLOOKUP(AB$10,Oppslag!$AP:$AQ,2,FALSE))</f>
        <v>0</v>
      </c>
      <c r="Y82" s="139">
        <f>IFERROR((IF($C82=1,VLOOKUP($D23,Oppslag!$AB:$AF,3,FALSE),VLOOKUP($D23,Oppslag!$AB:$AF,5,FALSE))*X82),0)</f>
        <v>0</v>
      </c>
      <c r="Z82" s="264">
        <f>((IF($D23&gt;0,IF($G23="Måneder",VLOOKUP($D23,Oppslag!$H:$O,5,FALSE())/12,VLOOKUP($D23,Oppslag!$H:$O,5,FALSE)),0))*AD23)*(VLOOKUP(AD$10,Oppslag!$AP:$AQ,2,FALSE))</f>
        <v>0</v>
      </c>
      <c r="AA82" s="264">
        <f>IFERROR((IF($C82=1,VLOOKUP($D23,Oppslag!$AB:$AF,3,FALSE),VLOOKUP($D23,Oppslag!$AB:$AF,5,FALSE))*Z82),0)</f>
        <v>0</v>
      </c>
      <c r="AB82" s="261">
        <f t="shared" si="28"/>
        <v>0</v>
      </c>
    </row>
    <row r="83" spans="1:28" hidden="1" outlineLevel="1" x14ac:dyDescent="0.25">
      <c r="A83" s="177">
        <f t="shared" si="26"/>
        <v>0</v>
      </c>
      <c r="B83" s="177">
        <f t="shared" si="27"/>
        <v>0</v>
      </c>
      <c r="C83">
        <f>IFERROR(VLOOKUP(C24,Oppslag!B:D,3,FALSE),0)</f>
        <v>0</v>
      </c>
      <c r="D83" s="142">
        <f>((IF($D24&gt;0,IF($G24="Måneder",VLOOKUP($D24,Oppslag!$H:$O,5,FALSE())/12,VLOOKUP($D24,Oppslag!$H:$O,5,FALSE)),0))*H24)*(VLOOKUP(H$10,Oppslag!$AP:$AQ,2,FALSE))</f>
        <v>0</v>
      </c>
      <c r="E83" s="139">
        <f>IFERROR((IF($C83=1,VLOOKUP($D24,Oppslag!$AB:$AF,3,FALSE),VLOOKUP($D24,Oppslag!$AB:$AF,5,FALSE))*D83),0)</f>
        <v>0</v>
      </c>
      <c r="F83" s="264">
        <f>((IF($D24&gt;0,IF($G24="Måneder",VLOOKUP($D24,Oppslag!$H:$O,5,FALSE())/12,VLOOKUP($D24,Oppslag!$H:$O,5,FALSE)),0))*J24)*(VLOOKUP(J$10,Oppslag!$AP:$AQ,2,FALSE))</f>
        <v>0</v>
      </c>
      <c r="G83" s="264">
        <f>IFERROR((IF($C83=1,VLOOKUP($D24,Oppslag!$AB:$AF,3,FALSE),VLOOKUP($D24,Oppslag!$AB:$AF,5,FALSE))*F83),0)</f>
        <v>0</v>
      </c>
      <c r="H83" s="139">
        <f>((IF($D24&gt;0,IF($G24="Måneder",VLOOKUP($D24,Oppslag!$H:$O,5,FALSE())/12,VLOOKUP($D24,Oppslag!$H:$O,5,FALSE)),0))*L24)*(VLOOKUP(L$10,Oppslag!$AP:$AQ,2,FALSE))</f>
        <v>0</v>
      </c>
      <c r="I83" s="139">
        <f>IFERROR((IF($C83=1,VLOOKUP($D24,Oppslag!$AB:$AF,3,FALSE),VLOOKUP($D24,Oppslag!$AB:$AF,5,FALSE))*H83),0)</f>
        <v>0</v>
      </c>
      <c r="J83" s="264">
        <f>((IF($D24&gt;0,IF($G24="Måneder",VLOOKUP($D24,Oppslag!$H:$O,5,FALSE())/12,VLOOKUP($D24,Oppslag!$H:$O,5,FALSE)),0))*N24)*(VLOOKUP(N$10,Oppslag!$AP:$AQ,2,FALSE))</f>
        <v>0</v>
      </c>
      <c r="K83" s="264">
        <f>IFERROR((IF($C83=1,VLOOKUP($D24,Oppslag!$AB:$AF,3,FALSE),VLOOKUP($D24,Oppslag!$AB:$AF,5,FALSE))*J83),0)</f>
        <v>0</v>
      </c>
      <c r="L83" s="139">
        <f>((IF($D24&gt;0,IF($G24="Måneder",VLOOKUP($D24,Oppslag!$H:$O,5,FALSE())/12,VLOOKUP($D24,Oppslag!$H:$O,5,FALSE)),0))*P24)*(VLOOKUP(P$10,Oppslag!$AP:$AQ,2,FALSE))</f>
        <v>0</v>
      </c>
      <c r="M83" s="139">
        <f>IFERROR((IF($C83=1,VLOOKUP($D24,Oppslag!$AB:$AF,3,FALSE),VLOOKUP($D24,Oppslag!$AB:$AF,5,FALSE))*L83),0)</f>
        <v>0</v>
      </c>
      <c r="N83" s="264">
        <f>((IF($D24&gt;0,IF($G24="Måneder",VLOOKUP($D24,Oppslag!$H:$O,5,FALSE())/12,VLOOKUP($D24,Oppslag!$H:$O,5,FALSE)),0))*R24)*(VLOOKUP(R$10,Oppslag!$AP:$AQ,2,FALSE))</f>
        <v>0</v>
      </c>
      <c r="O83" s="264">
        <f>IFERROR((IF($C83=1,VLOOKUP($D24,Oppslag!$AB:$AF,3,FALSE),VLOOKUP($D24,Oppslag!$AB:$AF,5,FALSE))*N83),0)</f>
        <v>0</v>
      </c>
      <c r="P83" s="139">
        <f>((IF($D24&gt;0,IF($G24="Måneder",VLOOKUP($D24,Oppslag!$H:$O,5,FALSE())/12,VLOOKUP($D24,Oppslag!$H:$O,5,FALSE)),0))*T24)*(VLOOKUP(T$10,Oppslag!$AP:$AQ,2,FALSE))</f>
        <v>0</v>
      </c>
      <c r="Q83" s="139">
        <f>IFERROR((IF($C83=1,VLOOKUP($D24,Oppslag!$AB:$AF,3,FALSE),VLOOKUP($D24,Oppslag!$AB:$AF,5,FALSE))*P83),0)</f>
        <v>0</v>
      </c>
      <c r="R83" s="264">
        <f>((IF($D24&gt;0,IF($G24="Måneder",VLOOKUP($D24,Oppslag!$H:$O,5,FALSE())/12,VLOOKUP($D24,Oppslag!$H:$O,5,FALSE)),0))*V24)*(VLOOKUP(V$10,Oppslag!$AP:$AQ,2,FALSE))</f>
        <v>0</v>
      </c>
      <c r="S83" s="264">
        <f>IFERROR((IF($C83=1,VLOOKUP($D24,Oppslag!$AB:$AF,3,FALSE),VLOOKUP($D24,Oppslag!$AB:$AF,5,FALSE))*R83),0)</f>
        <v>0</v>
      </c>
      <c r="T83" s="139">
        <f>((IF($D24&gt;0,IF($G24="Måneder",VLOOKUP($D24,Oppslag!$H:$O,5,FALSE())/12,VLOOKUP($D24,Oppslag!$H:$O,5,FALSE)),0))*X24)*(VLOOKUP(X$10,Oppslag!$AP:$AQ,2,FALSE))</f>
        <v>0</v>
      </c>
      <c r="U83" s="139">
        <f>IFERROR((IF($C83=1,VLOOKUP($D24,Oppslag!$AB:$AF,3,FALSE),VLOOKUP($D24,Oppslag!$AB:$AF,5,FALSE))*T83),0)</f>
        <v>0</v>
      </c>
      <c r="V83" s="264">
        <f>((IF($D24&gt;0,IF($G24="Måneder",VLOOKUP($D24,Oppslag!$H:$O,5,FALSE())/12,VLOOKUP($D24,Oppslag!$H:$O,5,FALSE)),0))*Z24)*(VLOOKUP(Z$10,Oppslag!$AP:$AQ,2,FALSE))</f>
        <v>0</v>
      </c>
      <c r="W83" s="264">
        <f>IFERROR((IF($C83=1,VLOOKUP($D24,Oppslag!$AB:$AF,3,FALSE),VLOOKUP($D24,Oppslag!$AB:$AF,5,FALSE))*V83),0)</f>
        <v>0</v>
      </c>
      <c r="X83" s="139">
        <f>((IF($D24&gt;0,IF($G24="Måneder",VLOOKUP($D24,Oppslag!$H:$O,5,FALSE())/12,VLOOKUP($D24,Oppslag!$H:$O,5,FALSE)),0))*AB24)*(VLOOKUP(AB$10,Oppslag!$AP:$AQ,2,FALSE))</f>
        <v>0</v>
      </c>
      <c r="Y83" s="139">
        <f>IFERROR((IF($C83=1,VLOOKUP($D24,Oppslag!$AB:$AF,3,FALSE),VLOOKUP($D24,Oppslag!$AB:$AF,5,FALSE))*X83),0)</f>
        <v>0</v>
      </c>
      <c r="Z83" s="264">
        <f>((IF($D24&gt;0,IF($G24="Måneder",VLOOKUP($D24,Oppslag!$H:$O,5,FALSE())/12,VLOOKUP($D24,Oppslag!$H:$O,5,FALSE)),0))*AD24)*(VLOOKUP(AD$10,Oppslag!$AP:$AQ,2,FALSE))</f>
        <v>0</v>
      </c>
      <c r="AA83" s="264">
        <f>IFERROR((IF($C83=1,VLOOKUP($D24,Oppslag!$AB:$AF,3,FALSE),VLOOKUP($D24,Oppslag!$AB:$AF,5,FALSE))*Z83),0)</f>
        <v>0</v>
      </c>
      <c r="AB83" s="261">
        <f t="shared" si="28"/>
        <v>0</v>
      </c>
    </row>
    <row r="84" spans="1:28" hidden="1" outlineLevel="1" x14ac:dyDescent="0.25">
      <c r="A84" s="177">
        <f t="shared" si="26"/>
        <v>0</v>
      </c>
      <c r="B84" s="177">
        <f t="shared" si="27"/>
        <v>0</v>
      </c>
      <c r="C84">
        <f>IFERROR(VLOOKUP(C25,Oppslag!B:D,3,FALSE),0)</f>
        <v>0</v>
      </c>
      <c r="D84" s="142">
        <f>((IF($D25&gt;0,IF($G25="Måneder",VLOOKUP($D25,Oppslag!$H:$O,5,FALSE())/12,VLOOKUP($D25,Oppslag!$H:$O,5,FALSE)),0))*H25)*(VLOOKUP(H$10,Oppslag!$AP:$AQ,2,FALSE))</f>
        <v>0</v>
      </c>
      <c r="E84" s="139">
        <f>IFERROR((IF($C84=1,VLOOKUP($D25,Oppslag!$AB:$AF,3,FALSE),VLOOKUP($D25,Oppslag!$AB:$AF,5,FALSE))*D84),0)</f>
        <v>0</v>
      </c>
      <c r="F84" s="264">
        <f>((IF($D25&gt;0,IF($G25="Måneder",VLOOKUP($D25,Oppslag!$H:$O,5,FALSE())/12,VLOOKUP($D25,Oppslag!$H:$O,5,FALSE)),0))*J25)*(VLOOKUP(J$10,Oppslag!$AP:$AQ,2,FALSE))</f>
        <v>0</v>
      </c>
      <c r="G84" s="264">
        <f>IFERROR((IF($C84=1,VLOOKUP($D25,Oppslag!$AB:$AF,3,FALSE),VLOOKUP($D25,Oppslag!$AB:$AF,5,FALSE))*F84),0)</f>
        <v>0</v>
      </c>
      <c r="H84" s="139">
        <f>((IF($D25&gt;0,IF($G25="Måneder",VLOOKUP($D25,Oppslag!$H:$O,5,FALSE())/12,VLOOKUP($D25,Oppslag!$H:$O,5,FALSE)),0))*L25)*(VLOOKUP(L$10,Oppslag!$AP:$AQ,2,FALSE))</f>
        <v>0</v>
      </c>
      <c r="I84" s="139">
        <f>IFERROR((IF($C84=1,VLOOKUP($D25,Oppslag!$AB:$AF,3,FALSE),VLOOKUP($D25,Oppslag!$AB:$AF,5,FALSE))*H84),0)</f>
        <v>0</v>
      </c>
      <c r="J84" s="264">
        <f>((IF($D25&gt;0,IF($G25="Måneder",VLOOKUP($D25,Oppslag!$H:$O,5,FALSE())/12,VLOOKUP($D25,Oppslag!$H:$O,5,FALSE)),0))*N25)*(VLOOKUP(N$10,Oppslag!$AP:$AQ,2,FALSE))</f>
        <v>0</v>
      </c>
      <c r="K84" s="264">
        <f>IFERROR((IF($C84=1,VLOOKUP($D25,Oppslag!$AB:$AF,3,FALSE),VLOOKUP($D25,Oppslag!$AB:$AF,5,FALSE))*J84),0)</f>
        <v>0</v>
      </c>
      <c r="L84" s="139">
        <f>((IF($D25&gt;0,IF($G25="Måneder",VLOOKUP($D25,Oppslag!$H:$O,5,FALSE())/12,VLOOKUP($D25,Oppslag!$H:$O,5,FALSE)),0))*P25)*(VLOOKUP(P$10,Oppslag!$AP:$AQ,2,FALSE))</f>
        <v>0</v>
      </c>
      <c r="M84" s="139">
        <f>IFERROR((IF($C84=1,VLOOKUP($D25,Oppslag!$AB:$AF,3,FALSE),VLOOKUP($D25,Oppslag!$AB:$AF,5,FALSE))*L84),0)</f>
        <v>0</v>
      </c>
      <c r="N84" s="264">
        <f>((IF($D25&gt;0,IF($G25="Måneder",VLOOKUP($D25,Oppslag!$H:$O,5,FALSE())/12,VLOOKUP($D25,Oppslag!$H:$O,5,FALSE)),0))*R25)*(VLOOKUP(R$10,Oppslag!$AP:$AQ,2,FALSE))</f>
        <v>0</v>
      </c>
      <c r="O84" s="264">
        <f>IFERROR((IF($C84=1,VLOOKUP($D25,Oppslag!$AB:$AF,3,FALSE),VLOOKUP($D25,Oppslag!$AB:$AF,5,FALSE))*N84),0)</f>
        <v>0</v>
      </c>
      <c r="P84" s="139">
        <f>((IF($D25&gt;0,IF($G25="Måneder",VLOOKUP($D25,Oppslag!$H:$O,5,FALSE())/12,VLOOKUP($D25,Oppslag!$H:$O,5,FALSE)),0))*T25)*(VLOOKUP(T$10,Oppslag!$AP:$AQ,2,FALSE))</f>
        <v>0</v>
      </c>
      <c r="Q84" s="139">
        <f>IFERROR((IF($C84=1,VLOOKUP($D25,Oppslag!$AB:$AF,3,FALSE),VLOOKUP($D25,Oppslag!$AB:$AF,5,FALSE))*P84),0)</f>
        <v>0</v>
      </c>
      <c r="R84" s="264">
        <f>((IF($D25&gt;0,IF($G25="Måneder",VLOOKUP($D25,Oppslag!$H:$O,5,FALSE())/12,VLOOKUP($D25,Oppslag!$H:$O,5,FALSE)),0))*V25)*(VLOOKUP(V$10,Oppslag!$AP:$AQ,2,FALSE))</f>
        <v>0</v>
      </c>
      <c r="S84" s="264">
        <f>IFERROR((IF($C84=1,VLOOKUP($D25,Oppslag!$AB:$AF,3,FALSE),VLOOKUP($D25,Oppslag!$AB:$AF,5,FALSE))*R84),0)</f>
        <v>0</v>
      </c>
      <c r="T84" s="139">
        <f>((IF($D25&gt;0,IF($G25="Måneder",VLOOKUP($D25,Oppslag!$H:$O,5,FALSE())/12,VLOOKUP($D25,Oppslag!$H:$O,5,FALSE)),0))*X25)*(VLOOKUP(X$10,Oppslag!$AP:$AQ,2,FALSE))</f>
        <v>0</v>
      </c>
      <c r="U84" s="139">
        <f>IFERROR((IF($C84=1,VLOOKUP($D25,Oppslag!$AB:$AF,3,FALSE),VLOOKUP($D25,Oppslag!$AB:$AF,5,FALSE))*T84),0)</f>
        <v>0</v>
      </c>
      <c r="V84" s="264">
        <f>((IF($D25&gt;0,IF($G25="Måneder",VLOOKUP($D25,Oppslag!$H:$O,5,FALSE())/12,VLOOKUP($D25,Oppslag!$H:$O,5,FALSE)),0))*Z25)*(VLOOKUP(Z$10,Oppslag!$AP:$AQ,2,FALSE))</f>
        <v>0</v>
      </c>
      <c r="W84" s="264">
        <f>IFERROR((IF($C84=1,VLOOKUP($D25,Oppslag!$AB:$AF,3,FALSE),VLOOKUP($D25,Oppslag!$AB:$AF,5,FALSE))*V84),0)</f>
        <v>0</v>
      </c>
      <c r="X84" s="139">
        <f>((IF($D25&gt;0,IF($G25="Måneder",VLOOKUP($D25,Oppslag!$H:$O,5,FALSE())/12,VLOOKUP($D25,Oppslag!$H:$O,5,FALSE)),0))*AB25)*(VLOOKUP(AB$10,Oppslag!$AP:$AQ,2,FALSE))</f>
        <v>0</v>
      </c>
      <c r="Y84" s="139">
        <f>IFERROR((IF($C84=1,VLOOKUP($D25,Oppslag!$AB:$AF,3,FALSE),VLOOKUP($D25,Oppslag!$AB:$AF,5,FALSE))*X84),0)</f>
        <v>0</v>
      </c>
      <c r="Z84" s="264">
        <f>((IF($D25&gt;0,IF($G25="Måneder",VLOOKUP($D25,Oppslag!$H:$O,5,FALSE())/12,VLOOKUP($D25,Oppslag!$H:$O,5,FALSE)),0))*AD25)*(VLOOKUP(AD$10,Oppslag!$AP:$AQ,2,FALSE))</f>
        <v>0</v>
      </c>
      <c r="AA84" s="264">
        <f>IFERROR((IF($C84=1,VLOOKUP($D25,Oppslag!$AB:$AF,3,FALSE),VLOOKUP($D25,Oppslag!$AB:$AF,5,FALSE))*Z84),0)</f>
        <v>0</v>
      </c>
      <c r="AB84" s="261">
        <f t="shared" si="28"/>
        <v>0</v>
      </c>
    </row>
    <row r="85" spans="1:28" hidden="1" outlineLevel="1" x14ac:dyDescent="0.25">
      <c r="A85" s="177">
        <f t="shared" si="26"/>
        <v>0</v>
      </c>
      <c r="B85" s="177">
        <f t="shared" si="27"/>
        <v>0</v>
      </c>
      <c r="C85">
        <f>IFERROR(VLOOKUP(C26,Oppslag!B:D,3,FALSE),0)</f>
        <v>0</v>
      </c>
      <c r="D85" s="142">
        <f>((IF($D26&gt;0,IF($G26="Måneder",VLOOKUP($D26,Oppslag!$H:$O,5,FALSE())/12,VLOOKUP($D26,Oppslag!$H:$O,5,FALSE)),0))*H26)*(VLOOKUP(H$10,Oppslag!$AP:$AQ,2,FALSE))</f>
        <v>0</v>
      </c>
      <c r="E85" s="139">
        <f>IFERROR((IF($C85=1,VLOOKUP($D26,Oppslag!$AB:$AF,3,FALSE),VLOOKUP($D26,Oppslag!$AB:$AF,5,FALSE))*D85),0)</f>
        <v>0</v>
      </c>
      <c r="F85" s="264">
        <f>((IF($D26&gt;0,IF($G26="Måneder",VLOOKUP($D26,Oppslag!$H:$O,5,FALSE())/12,VLOOKUP($D26,Oppslag!$H:$O,5,FALSE)),0))*J26)*(VLOOKUP(J$10,Oppslag!$AP:$AQ,2,FALSE))</f>
        <v>0</v>
      </c>
      <c r="G85" s="264">
        <f>IFERROR((IF($C85=1,VLOOKUP($D26,Oppslag!$AB:$AF,3,FALSE),VLOOKUP($D26,Oppslag!$AB:$AF,5,FALSE))*F85),0)</f>
        <v>0</v>
      </c>
      <c r="H85" s="139">
        <f>((IF($D26&gt;0,IF($G26="Måneder",VLOOKUP($D26,Oppslag!$H:$O,5,FALSE())/12,VLOOKUP($D26,Oppslag!$H:$O,5,FALSE)),0))*L26)*(VLOOKUP(L$10,Oppslag!$AP:$AQ,2,FALSE))</f>
        <v>0</v>
      </c>
      <c r="I85" s="139">
        <f>IFERROR((IF($C85=1,VLOOKUP($D26,Oppslag!$AB:$AF,3,FALSE),VLOOKUP($D26,Oppslag!$AB:$AF,5,FALSE))*H85),0)</f>
        <v>0</v>
      </c>
      <c r="J85" s="264">
        <f>((IF($D26&gt;0,IF($G26="Måneder",VLOOKUP($D26,Oppslag!$H:$O,5,FALSE())/12,VLOOKUP($D26,Oppslag!$H:$O,5,FALSE)),0))*N26)*(VLOOKUP(N$10,Oppslag!$AP:$AQ,2,FALSE))</f>
        <v>0</v>
      </c>
      <c r="K85" s="264">
        <f>IFERROR((IF($C85=1,VLOOKUP($D26,Oppslag!$AB:$AF,3,FALSE),VLOOKUP($D26,Oppslag!$AB:$AF,5,FALSE))*J85),0)</f>
        <v>0</v>
      </c>
      <c r="L85" s="139">
        <f>((IF($D26&gt;0,IF($G26="Måneder",VLOOKUP($D26,Oppslag!$H:$O,5,FALSE())/12,VLOOKUP($D26,Oppslag!$H:$O,5,FALSE)),0))*P26)*(VLOOKUP(P$10,Oppslag!$AP:$AQ,2,FALSE))</f>
        <v>0</v>
      </c>
      <c r="M85" s="139">
        <f>IFERROR((IF($C85=1,VLOOKUP($D26,Oppslag!$AB:$AF,3,FALSE),VLOOKUP($D26,Oppslag!$AB:$AF,5,FALSE))*L85),0)</f>
        <v>0</v>
      </c>
      <c r="N85" s="264">
        <f>((IF($D26&gt;0,IF($G26="Måneder",VLOOKUP($D26,Oppslag!$H:$O,5,FALSE())/12,VLOOKUP($D26,Oppslag!$H:$O,5,FALSE)),0))*R26)*(VLOOKUP(R$10,Oppslag!$AP:$AQ,2,FALSE))</f>
        <v>0</v>
      </c>
      <c r="O85" s="264">
        <f>IFERROR((IF($C85=1,VLOOKUP($D26,Oppslag!$AB:$AF,3,FALSE),VLOOKUP($D26,Oppslag!$AB:$AF,5,FALSE))*N85),0)</f>
        <v>0</v>
      </c>
      <c r="P85" s="139">
        <f>((IF($D26&gt;0,IF($G26="Måneder",VLOOKUP($D26,Oppslag!$H:$O,5,FALSE())/12,VLOOKUP($D26,Oppslag!$H:$O,5,FALSE)),0))*T26)*(VLOOKUP(T$10,Oppslag!$AP:$AQ,2,FALSE))</f>
        <v>0</v>
      </c>
      <c r="Q85" s="139">
        <f>IFERROR((IF($C85=1,VLOOKUP($D26,Oppslag!$AB:$AF,3,FALSE),VLOOKUP($D26,Oppslag!$AB:$AF,5,FALSE))*P85),0)</f>
        <v>0</v>
      </c>
      <c r="R85" s="264">
        <f>((IF($D26&gt;0,IF($G26="Måneder",VLOOKUP($D26,Oppslag!$H:$O,5,FALSE())/12,VLOOKUP($D26,Oppslag!$H:$O,5,FALSE)),0))*V26)*(VLOOKUP(V$10,Oppslag!$AP:$AQ,2,FALSE))</f>
        <v>0</v>
      </c>
      <c r="S85" s="264">
        <f>IFERROR((IF($C85=1,VLOOKUP($D26,Oppslag!$AB:$AF,3,FALSE),VLOOKUP($D26,Oppslag!$AB:$AF,5,FALSE))*R85),0)</f>
        <v>0</v>
      </c>
      <c r="T85" s="139">
        <f>((IF($D26&gt;0,IF($G26="Måneder",VLOOKUP($D26,Oppslag!$H:$O,5,FALSE())/12,VLOOKUP($D26,Oppslag!$H:$O,5,FALSE)),0))*X26)*(VLOOKUP(X$10,Oppslag!$AP:$AQ,2,FALSE))</f>
        <v>0</v>
      </c>
      <c r="U85" s="139">
        <f>IFERROR((IF($C85=1,VLOOKUP($D26,Oppslag!$AB:$AF,3,FALSE),VLOOKUP($D26,Oppslag!$AB:$AF,5,FALSE))*T85),0)</f>
        <v>0</v>
      </c>
      <c r="V85" s="264">
        <f>((IF($D26&gt;0,IF($G26="Måneder",VLOOKUP($D26,Oppslag!$H:$O,5,FALSE())/12,VLOOKUP($D26,Oppslag!$H:$O,5,FALSE)),0))*Z26)*(VLOOKUP(Z$10,Oppslag!$AP:$AQ,2,FALSE))</f>
        <v>0</v>
      </c>
      <c r="W85" s="264">
        <f>IFERROR((IF($C85=1,VLOOKUP($D26,Oppslag!$AB:$AF,3,FALSE),VLOOKUP($D26,Oppslag!$AB:$AF,5,FALSE))*V85),0)</f>
        <v>0</v>
      </c>
      <c r="X85" s="139">
        <f>((IF($D26&gt;0,IF($G26="Måneder",VLOOKUP($D26,Oppslag!$H:$O,5,FALSE())/12,VLOOKUP($D26,Oppslag!$H:$O,5,FALSE)),0))*AB26)*(VLOOKUP(AB$10,Oppslag!$AP:$AQ,2,FALSE))</f>
        <v>0</v>
      </c>
      <c r="Y85" s="139">
        <f>IFERROR((IF($C85=1,VLOOKUP($D26,Oppslag!$AB:$AF,3,FALSE),VLOOKUP($D26,Oppslag!$AB:$AF,5,FALSE))*X85),0)</f>
        <v>0</v>
      </c>
      <c r="Z85" s="264">
        <f>((IF($D26&gt;0,IF($G26="Måneder",VLOOKUP($D26,Oppslag!$H:$O,5,FALSE())/12,VLOOKUP($D26,Oppslag!$H:$O,5,FALSE)),0))*AD26)*(VLOOKUP(AD$10,Oppslag!$AP:$AQ,2,FALSE))</f>
        <v>0</v>
      </c>
      <c r="AA85" s="264">
        <f>IFERROR((IF($C85=1,VLOOKUP($D26,Oppslag!$AB:$AF,3,FALSE),VLOOKUP($D26,Oppslag!$AB:$AF,5,FALSE))*Z85),0)</f>
        <v>0</v>
      </c>
      <c r="AB85" s="261">
        <f t="shared" si="28"/>
        <v>0</v>
      </c>
    </row>
    <row r="86" spans="1:28" hidden="1" outlineLevel="1" x14ac:dyDescent="0.25">
      <c r="A86" s="177">
        <f t="shared" si="26"/>
        <v>0</v>
      </c>
      <c r="B86" s="177">
        <f t="shared" si="27"/>
        <v>0</v>
      </c>
      <c r="C86">
        <f>IFERROR(VLOOKUP(C27,Oppslag!B:D,3,FALSE),0)</f>
        <v>0</v>
      </c>
      <c r="D86" s="142">
        <f>((IF($D27&gt;0,IF($G27="Måneder",VLOOKUP($D27,Oppslag!$H:$O,5,FALSE())/12,VLOOKUP($D27,Oppslag!$H:$O,5,FALSE)),0))*H27)*(VLOOKUP(H$10,Oppslag!$AP:$AQ,2,FALSE))</f>
        <v>0</v>
      </c>
      <c r="E86" s="139">
        <f>IFERROR((IF($C86=1,VLOOKUP($D27,Oppslag!$AB:$AF,3,FALSE),VLOOKUP($D27,Oppslag!$AB:$AF,5,FALSE))*D86),0)</f>
        <v>0</v>
      </c>
      <c r="F86" s="264">
        <f>((IF($D27&gt;0,IF($G27="Måneder",VLOOKUP($D27,Oppslag!$H:$O,5,FALSE())/12,VLOOKUP($D27,Oppslag!$H:$O,5,FALSE)),0))*J27)*(VLOOKUP(J$10,Oppslag!$AP:$AQ,2,FALSE))</f>
        <v>0</v>
      </c>
      <c r="G86" s="264">
        <f>IFERROR((IF($C86=1,VLOOKUP($D27,Oppslag!$AB:$AF,3,FALSE),VLOOKUP($D27,Oppslag!$AB:$AF,5,FALSE))*F86),0)</f>
        <v>0</v>
      </c>
      <c r="H86" s="139">
        <f>((IF($D27&gt;0,IF($G27="Måneder",VLOOKUP($D27,Oppslag!$H:$O,5,FALSE())/12,VLOOKUP($D27,Oppslag!$H:$O,5,FALSE)),0))*L27)*(VLOOKUP(L$10,Oppslag!$AP:$AQ,2,FALSE))</f>
        <v>0</v>
      </c>
      <c r="I86" s="139">
        <f>IFERROR((IF($C86=1,VLOOKUP($D27,Oppslag!$AB:$AF,3,FALSE),VLOOKUP($D27,Oppslag!$AB:$AF,5,FALSE))*H86),0)</f>
        <v>0</v>
      </c>
      <c r="J86" s="264">
        <f>((IF($D27&gt;0,IF($G27="Måneder",VLOOKUP($D27,Oppslag!$H:$O,5,FALSE())/12,VLOOKUP($D27,Oppslag!$H:$O,5,FALSE)),0))*N27)*(VLOOKUP(N$10,Oppslag!$AP:$AQ,2,FALSE))</f>
        <v>0</v>
      </c>
      <c r="K86" s="264">
        <f>IFERROR((IF($C86=1,VLOOKUP($D27,Oppslag!$AB:$AF,3,FALSE),VLOOKUP($D27,Oppslag!$AB:$AF,5,FALSE))*J86),0)</f>
        <v>0</v>
      </c>
      <c r="L86" s="139">
        <f>((IF($D27&gt;0,IF($G27="Måneder",VLOOKUP($D27,Oppslag!$H:$O,5,FALSE())/12,VLOOKUP($D27,Oppslag!$H:$O,5,FALSE)),0))*P27)*(VLOOKUP(P$10,Oppslag!$AP:$AQ,2,FALSE))</f>
        <v>0</v>
      </c>
      <c r="M86" s="139">
        <f>IFERROR((IF($C86=1,VLOOKUP($D27,Oppslag!$AB:$AF,3,FALSE),VLOOKUP($D27,Oppslag!$AB:$AF,5,FALSE))*L86),0)</f>
        <v>0</v>
      </c>
      <c r="N86" s="264">
        <f>((IF($D27&gt;0,IF($G27="Måneder",VLOOKUP($D27,Oppslag!$H:$O,5,FALSE())/12,VLOOKUP($D27,Oppslag!$H:$O,5,FALSE)),0))*R27)*(VLOOKUP(R$10,Oppslag!$AP:$AQ,2,FALSE))</f>
        <v>0</v>
      </c>
      <c r="O86" s="264">
        <f>IFERROR((IF($C86=1,VLOOKUP($D27,Oppslag!$AB:$AF,3,FALSE),VLOOKUP($D27,Oppslag!$AB:$AF,5,FALSE))*N86),0)</f>
        <v>0</v>
      </c>
      <c r="P86" s="139">
        <f>((IF($D27&gt;0,IF($G27="Måneder",VLOOKUP($D27,Oppslag!$H:$O,5,FALSE())/12,VLOOKUP($D27,Oppslag!$H:$O,5,FALSE)),0))*T27)*(VLOOKUP(T$10,Oppslag!$AP:$AQ,2,FALSE))</f>
        <v>0</v>
      </c>
      <c r="Q86" s="139">
        <f>IFERROR((IF($C86=1,VLOOKUP($D27,Oppslag!$AB:$AF,3,FALSE),VLOOKUP($D27,Oppslag!$AB:$AF,5,FALSE))*P86),0)</f>
        <v>0</v>
      </c>
      <c r="R86" s="264">
        <f>((IF($D27&gt;0,IF($G27="Måneder",VLOOKUP($D27,Oppslag!$H:$O,5,FALSE())/12,VLOOKUP($D27,Oppslag!$H:$O,5,FALSE)),0))*V27)*(VLOOKUP(V$10,Oppslag!$AP:$AQ,2,FALSE))</f>
        <v>0</v>
      </c>
      <c r="S86" s="264">
        <f>IFERROR((IF($C86=1,VLOOKUP($D27,Oppslag!$AB:$AF,3,FALSE),VLOOKUP($D27,Oppslag!$AB:$AF,5,FALSE))*R86),0)</f>
        <v>0</v>
      </c>
      <c r="T86" s="139">
        <f>((IF($D27&gt;0,IF($G27="Måneder",VLOOKUP($D27,Oppslag!$H:$O,5,FALSE())/12,VLOOKUP($D27,Oppslag!$H:$O,5,FALSE)),0))*X27)*(VLOOKUP(X$10,Oppslag!$AP:$AQ,2,FALSE))</f>
        <v>0</v>
      </c>
      <c r="U86" s="139">
        <f>IFERROR((IF($C86=1,VLOOKUP($D27,Oppslag!$AB:$AF,3,FALSE),VLOOKUP($D27,Oppslag!$AB:$AF,5,FALSE))*T86),0)</f>
        <v>0</v>
      </c>
      <c r="V86" s="264">
        <f>((IF($D27&gt;0,IF($G27="Måneder",VLOOKUP($D27,Oppslag!$H:$O,5,FALSE())/12,VLOOKUP($D27,Oppslag!$H:$O,5,FALSE)),0))*Z27)*(VLOOKUP(Z$10,Oppslag!$AP:$AQ,2,FALSE))</f>
        <v>0</v>
      </c>
      <c r="W86" s="264">
        <f>IFERROR((IF($C86=1,VLOOKUP($D27,Oppslag!$AB:$AF,3,FALSE),VLOOKUP($D27,Oppslag!$AB:$AF,5,FALSE))*V86),0)</f>
        <v>0</v>
      </c>
      <c r="X86" s="139">
        <f>((IF($D27&gt;0,IF($G27="Måneder",VLOOKUP($D27,Oppslag!$H:$O,5,FALSE())/12,VLOOKUP($D27,Oppslag!$H:$O,5,FALSE)),0))*AB27)*(VLOOKUP(AB$10,Oppslag!$AP:$AQ,2,FALSE))</f>
        <v>0</v>
      </c>
      <c r="Y86" s="139">
        <f>IFERROR((IF($C86=1,VLOOKUP($D27,Oppslag!$AB:$AF,3,FALSE),VLOOKUP($D27,Oppslag!$AB:$AF,5,FALSE))*X86),0)</f>
        <v>0</v>
      </c>
      <c r="Z86" s="264">
        <f>((IF($D27&gt;0,IF($G27="Måneder",VLOOKUP($D27,Oppslag!$H:$O,5,FALSE())/12,VLOOKUP($D27,Oppslag!$H:$O,5,FALSE)),0))*AD27)*(VLOOKUP(AD$10,Oppslag!$AP:$AQ,2,FALSE))</f>
        <v>0</v>
      </c>
      <c r="AA86" s="264">
        <f>IFERROR((IF($C86=1,VLOOKUP($D27,Oppslag!$AB:$AF,3,FALSE),VLOOKUP($D27,Oppslag!$AB:$AF,5,FALSE))*Z86),0)</f>
        <v>0</v>
      </c>
      <c r="AB86" s="261">
        <f t="shared" si="28"/>
        <v>0</v>
      </c>
    </row>
    <row r="87" spans="1:28" hidden="1" outlineLevel="1" x14ac:dyDescent="0.25">
      <c r="A87" s="177">
        <f t="shared" si="26"/>
        <v>0</v>
      </c>
      <c r="B87" s="177">
        <f t="shared" si="27"/>
        <v>0</v>
      </c>
      <c r="C87">
        <f>IFERROR(VLOOKUP(C28,Oppslag!B:D,3,FALSE),0)</f>
        <v>0</v>
      </c>
      <c r="D87" s="142">
        <f>((IF($D28&gt;0,IF($G28="Måneder",VLOOKUP($D28,Oppslag!$H:$O,5,FALSE())/12,VLOOKUP($D28,Oppslag!$H:$O,5,FALSE)),0))*H28)*(VLOOKUP(H$10,Oppslag!$AP:$AQ,2,FALSE))</f>
        <v>0</v>
      </c>
      <c r="E87" s="139">
        <f>IFERROR((IF($C87=1,VLOOKUP($D28,Oppslag!$AB:$AF,3,FALSE),VLOOKUP($D28,Oppslag!$AB:$AF,5,FALSE))*D87),0)</f>
        <v>0</v>
      </c>
      <c r="F87" s="264">
        <f>((IF($D28&gt;0,IF($G28="Måneder",VLOOKUP($D28,Oppslag!$H:$O,5,FALSE())/12,VLOOKUP($D28,Oppslag!$H:$O,5,FALSE)),0))*J28)*(VLOOKUP(J$10,Oppslag!$AP:$AQ,2,FALSE))</f>
        <v>0</v>
      </c>
      <c r="G87" s="264">
        <f>IFERROR((IF($C87=1,VLOOKUP($D28,Oppslag!$AB:$AF,3,FALSE),VLOOKUP($D28,Oppslag!$AB:$AF,5,FALSE))*F87),0)</f>
        <v>0</v>
      </c>
      <c r="H87" s="139">
        <f>((IF($D28&gt;0,IF($G28="Måneder",VLOOKUP($D28,Oppslag!$H:$O,5,FALSE())/12,VLOOKUP($D28,Oppslag!$H:$O,5,FALSE)),0))*L28)*(VLOOKUP(L$10,Oppslag!$AP:$AQ,2,FALSE))</f>
        <v>0</v>
      </c>
      <c r="I87" s="139">
        <f>IFERROR((IF($C87=1,VLOOKUP($D28,Oppslag!$AB:$AF,3,FALSE),VLOOKUP($D28,Oppslag!$AB:$AF,5,FALSE))*H87),0)</f>
        <v>0</v>
      </c>
      <c r="J87" s="264">
        <f>((IF($D28&gt;0,IF($G28="Måneder",VLOOKUP($D28,Oppslag!$H:$O,5,FALSE())/12,VLOOKUP($D28,Oppslag!$H:$O,5,FALSE)),0))*N28)*(VLOOKUP(N$10,Oppslag!$AP:$AQ,2,FALSE))</f>
        <v>0</v>
      </c>
      <c r="K87" s="264">
        <f>IFERROR((IF($C87=1,VLOOKUP($D28,Oppslag!$AB:$AF,3,FALSE),VLOOKUP($D28,Oppslag!$AB:$AF,5,FALSE))*J87),0)</f>
        <v>0</v>
      </c>
      <c r="L87" s="139">
        <f>((IF($D28&gt;0,IF($G28="Måneder",VLOOKUP($D28,Oppslag!$H:$O,5,FALSE())/12,VLOOKUP($D28,Oppslag!$H:$O,5,FALSE)),0))*P28)*(VLOOKUP(P$10,Oppslag!$AP:$AQ,2,FALSE))</f>
        <v>0</v>
      </c>
      <c r="M87" s="139">
        <f>IFERROR((IF($C87=1,VLOOKUP($D28,Oppslag!$AB:$AF,3,FALSE),VLOOKUP($D28,Oppslag!$AB:$AF,5,FALSE))*L87),0)</f>
        <v>0</v>
      </c>
      <c r="N87" s="264">
        <f>((IF($D28&gt;0,IF($G28="Måneder",VLOOKUP($D28,Oppslag!$H:$O,5,FALSE())/12,VLOOKUP($D28,Oppslag!$H:$O,5,FALSE)),0))*R28)*(VLOOKUP(R$10,Oppslag!$AP:$AQ,2,FALSE))</f>
        <v>0</v>
      </c>
      <c r="O87" s="264">
        <f>IFERROR((IF($C87=1,VLOOKUP($D28,Oppslag!$AB:$AF,3,FALSE),VLOOKUP($D28,Oppslag!$AB:$AF,5,FALSE))*N87),0)</f>
        <v>0</v>
      </c>
      <c r="P87" s="139">
        <f>((IF($D28&gt;0,IF($G28="Måneder",VLOOKUP($D28,Oppslag!$H:$O,5,FALSE())/12,VLOOKUP($D28,Oppslag!$H:$O,5,FALSE)),0))*T28)*(VLOOKUP(T$10,Oppslag!$AP:$AQ,2,FALSE))</f>
        <v>0</v>
      </c>
      <c r="Q87" s="139">
        <f>IFERROR((IF($C87=1,VLOOKUP($D28,Oppslag!$AB:$AF,3,FALSE),VLOOKUP($D28,Oppslag!$AB:$AF,5,FALSE))*P87),0)</f>
        <v>0</v>
      </c>
      <c r="R87" s="264">
        <f>((IF($D28&gt;0,IF($G28="Måneder",VLOOKUP($D28,Oppslag!$H:$O,5,FALSE())/12,VLOOKUP($D28,Oppslag!$H:$O,5,FALSE)),0))*V28)*(VLOOKUP(V$10,Oppslag!$AP:$AQ,2,FALSE))</f>
        <v>0</v>
      </c>
      <c r="S87" s="264">
        <f>IFERROR((IF($C87=1,VLOOKUP($D28,Oppslag!$AB:$AF,3,FALSE),VLOOKUP($D28,Oppslag!$AB:$AF,5,FALSE))*R87),0)</f>
        <v>0</v>
      </c>
      <c r="T87" s="139">
        <f>((IF($D28&gt;0,IF($G28="Måneder",VLOOKUP($D28,Oppslag!$H:$O,5,FALSE())/12,VLOOKUP($D28,Oppslag!$H:$O,5,FALSE)),0))*X28)*(VLOOKUP(X$10,Oppslag!$AP:$AQ,2,FALSE))</f>
        <v>0</v>
      </c>
      <c r="U87" s="139">
        <f>IFERROR((IF($C87=1,VLOOKUP($D28,Oppslag!$AB:$AF,3,FALSE),VLOOKUP($D28,Oppslag!$AB:$AF,5,FALSE))*T87),0)</f>
        <v>0</v>
      </c>
      <c r="V87" s="264">
        <f>((IF($D28&gt;0,IF($G28="Måneder",VLOOKUP($D28,Oppslag!$H:$O,5,FALSE())/12,VLOOKUP($D28,Oppslag!$H:$O,5,FALSE)),0))*Z28)*(VLOOKUP(Z$10,Oppslag!$AP:$AQ,2,FALSE))</f>
        <v>0</v>
      </c>
      <c r="W87" s="264">
        <f>IFERROR((IF($C87=1,VLOOKUP($D28,Oppslag!$AB:$AF,3,FALSE),VLOOKUP($D28,Oppslag!$AB:$AF,5,FALSE))*V87),0)</f>
        <v>0</v>
      </c>
      <c r="X87" s="139">
        <f>((IF($D28&gt;0,IF($G28="Måneder",VLOOKUP($D28,Oppslag!$H:$O,5,FALSE())/12,VLOOKUP($D28,Oppslag!$H:$O,5,FALSE)),0))*AB28)*(VLOOKUP(AB$10,Oppslag!$AP:$AQ,2,FALSE))</f>
        <v>0</v>
      </c>
      <c r="Y87" s="139">
        <f>IFERROR((IF($C87=1,VLOOKUP($D28,Oppslag!$AB:$AF,3,FALSE),VLOOKUP($D28,Oppslag!$AB:$AF,5,FALSE))*X87),0)</f>
        <v>0</v>
      </c>
      <c r="Z87" s="264">
        <f>((IF($D28&gt;0,IF($G28="Måneder",VLOOKUP($D28,Oppslag!$H:$O,5,FALSE())/12,VLOOKUP($D28,Oppslag!$H:$O,5,FALSE)),0))*AD28)*(VLOOKUP(AD$10,Oppslag!$AP:$AQ,2,FALSE))</f>
        <v>0</v>
      </c>
      <c r="AA87" s="264">
        <f>IFERROR((IF($C87=1,VLOOKUP($D28,Oppslag!$AB:$AF,3,FALSE),VLOOKUP($D28,Oppslag!$AB:$AF,5,FALSE))*Z87),0)</f>
        <v>0</v>
      </c>
      <c r="AB87" s="261">
        <f t="shared" si="28"/>
        <v>0</v>
      </c>
    </row>
    <row r="88" spans="1:28" hidden="1" outlineLevel="1" x14ac:dyDescent="0.25">
      <c r="A88" s="177">
        <f t="shared" si="26"/>
        <v>0</v>
      </c>
      <c r="B88" s="177">
        <f t="shared" si="27"/>
        <v>0</v>
      </c>
      <c r="C88">
        <f>IFERROR(VLOOKUP(C29,Oppslag!B:D,3,FALSE),0)</f>
        <v>0</v>
      </c>
      <c r="D88" s="142">
        <f>((IF($D29&gt;0,IF($G29="Måneder",VLOOKUP($D29,Oppslag!$H:$O,5,FALSE())/12,VLOOKUP($D29,Oppslag!$H:$O,5,FALSE)),0))*H29)*(VLOOKUP(H$10,Oppslag!$AP:$AQ,2,FALSE))</f>
        <v>0</v>
      </c>
      <c r="E88" s="139">
        <f>IFERROR((IF($C88=1,VLOOKUP($D29,Oppslag!$AB:$AF,3,FALSE),VLOOKUP($D29,Oppslag!$AB:$AF,5,FALSE))*D88),0)</f>
        <v>0</v>
      </c>
      <c r="F88" s="264">
        <f>((IF($D29&gt;0,IF($G29="Måneder",VLOOKUP($D29,Oppslag!$H:$O,5,FALSE())/12,VLOOKUP($D29,Oppslag!$H:$O,5,FALSE)),0))*J29)*(VLOOKUP(J$10,Oppslag!$AP:$AQ,2,FALSE))</f>
        <v>0</v>
      </c>
      <c r="G88" s="264">
        <f>IFERROR((IF($C88=1,VLOOKUP($D29,Oppslag!$AB:$AF,3,FALSE),VLOOKUP($D29,Oppslag!$AB:$AF,5,FALSE))*F88),0)</f>
        <v>0</v>
      </c>
      <c r="H88" s="139">
        <f>((IF($D29&gt;0,IF($G29="Måneder",VLOOKUP($D29,Oppslag!$H:$O,5,FALSE())/12,VLOOKUP($D29,Oppslag!$H:$O,5,FALSE)),0))*L29)*(VLOOKUP(L$10,Oppslag!$AP:$AQ,2,FALSE))</f>
        <v>0</v>
      </c>
      <c r="I88" s="139">
        <f>IFERROR((IF($C88=1,VLOOKUP($D29,Oppslag!$AB:$AF,3,FALSE),VLOOKUP($D29,Oppslag!$AB:$AF,5,FALSE))*H88),0)</f>
        <v>0</v>
      </c>
      <c r="J88" s="264">
        <f>((IF($D29&gt;0,IF($G29="Måneder",VLOOKUP($D29,Oppslag!$H:$O,5,FALSE())/12,VLOOKUP($D29,Oppslag!$H:$O,5,FALSE)),0))*N29)*(VLOOKUP(N$10,Oppslag!$AP:$AQ,2,FALSE))</f>
        <v>0</v>
      </c>
      <c r="K88" s="264">
        <f>IFERROR((IF($C88=1,VLOOKUP($D29,Oppslag!$AB:$AF,3,FALSE),VLOOKUP($D29,Oppslag!$AB:$AF,5,FALSE))*J88),0)</f>
        <v>0</v>
      </c>
      <c r="L88" s="139">
        <f>((IF($D29&gt;0,IF($G29="Måneder",VLOOKUP($D29,Oppslag!$H:$O,5,FALSE())/12,VLOOKUP($D29,Oppslag!$H:$O,5,FALSE)),0))*P29)*(VLOOKUP(P$10,Oppslag!$AP:$AQ,2,FALSE))</f>
        <v>0</v>
      </c>
      <c r="M88" s="139">
        <f>IFERROR((IF($C88=1,VLOOKUP($D29,Oppslag!$AB:$AF,3,FALSE),VLOOKUP($D29,Oppslag!$AB:$AF,5,FALSE))*L88),0)</f>
        <v>0</v>
      </c>
      <c r="N88" s="264">
        <f>((IF($D29&gt;0,IF($G29="Måneder",VLOOKUP($D29,Oppslag!$H:$O,5,FALSE())/12,VLOOKUP($D29,Oppslag!$H:$O,5,FALSE)),0))*R29)*(VLOOKUP(R$10,Oppslag!$AP:$AQ,2,FALSE))</f>
        <v>0</v>
      </c>
      <c r="O88" s="264">
        <f>IFERROR((IF($C88=1,VLOOKUP($D29,Oppslag!$AB:$AF,3,FALSE),VLOOKUP($D29,Oppslag!$AB:$AF,5,FALSE))*N88),0)</f>
        <v>0</v>
      </c>
      <c r="P88" s="139">
        <f>((IF($D29&gt;0,IF($G29="Måneder",VLOOKUP($D29,Oppslag!$H:$O,5,FALSE())/12,VLOOKUP($D29,Oppslag!$H:$O,5,FALSE)),0))*T29)*(VLOOKUP(T$10,Oppslag!$AP:$AQ,2,FALSE))</f>
        <v>0</v>
      </c>
      <c r="Q88" s="139">
        <f>IFERROR((IF($C88=1,VLOOKUP($D29,Oppslag!$AB:$AF,3,FALSE),VLOOKUP($D29,Oppslag!$AB:$AF,5,FALSE))*P88),0)</f>
        <v>0</v>
      </c>
      <c r="R88" s="264">
        <f>((IF($D29&gt;0,IF($G29="Måneder",VLOOKUP($D29,Oppslag!$H:$O,5,FALSE())/12,VLOOKUP($D29,Oppslag!$H:$O,5,FALSE)),0))*V29)*(VLOOKUP(V$10,Oppslag!$AP:$AQ,2,FALSE))</f>
        <v>0</v>
      </c>
      <c r="S88" s="264">
        <f>IFERROR((IF($C88=1,VLOOKUP($D29,Oppslag!$AB:$AF,3,FALSE),VLOOKUP($D29,Oppslag!$AB:$AF,5,FALSE))*R88),0)</f>
        <v>0</v>
      </c>
      <c r="T88" s="139">
        <f>((IF($D29&gt;0,IF($G29="Måneder",VLOOKUP($D29,Oppslag!$H:$O,5,FALSE())/12,VLOOKUP($D29,Oppslag!$H:$O,5,FALSE)),0))*X29)*(VLOOKUP(X$10,Oppslag!$AP:$AQ,2,FALSE))</f>
        <v>0</v>
      </c>
      <c r="U88" s="139">
        <f>IFERROR((IF($C88=1,VLOOKUP($D29,Oppslag!$AB:$AF,3,FALSE),VLOOKUP($D29,Oppslag!$AB:$AF,5,FALSE))*T88),0)</f>
        <v>0</v>
      </c>
      <c r="V88" s="264">
        <f>((IF($D29&gt;0,IF($G29="Måneder",VLOOKUP($D29,Oppslag!$H:$O,5,FALSE())/12,VLOOKUP($D29,Oppslag!$H:$O,5,FALSE)),0))*Z29)*(VLOOKUP(Z$10,Oppslag!$AP:$AQ,2,FALSE))</f>
        <v>0</v>
      </c>
      <c r="W88" s="264">
        <f>IFERROR((IF($C88=1,VLOOKUP($D29,Oppslag!$AB:$AF,3,FALSE),VLOOKUP($D29,Oppslag!$AB:$AF,5,FALSE))*V88),0)</f>
        <v>0</v>
      </c>
      <c r="X88" s="139">
        <f>((IF($D29&gt;0,IF($G29="Måneder",VLOOKUP($D29,Oppslag!$H:$O,5,FALSE())/12,VLOOKUP($D29,Oppslag!$H:$O,5,FALSE)),0))*AB29)*(VLOOKUP(AB$10,Oppslag!$AP:$AQ,2,FALSE))</f>
        <v>0</v>
      </c>
      <c r="Y88" s="139">
        <f>IFERROR((IF($C88=1,VLOOKUP($D29,Oppslag!$AB:$AF,3,FALSE),VLOOKUP($D29,Oppslag!$AB:$AF,5,FALSE))*X88),0)</f>
        <v>0</v>
      </c>
      <c r="Z88" s="264">
        <f>((IF($D29&gt;0,IF($G29="Måneder",VLOOKUP($D29,Oppslag!$H:$O,5,FALSE())/12,VLOOKUP($D29,Oppslag!$H:$O,5,FALSE)),0))*AD29)*(VLOOKUP(AD$10,Oppslag!$AP:$AQ,2,FALSE))</f>
        <v>0</v>
      </c>
      <c r="AA88" s="264">
        <f>IFERROR((IF($C88=1,VLOOKUP($D29,Oppslag!$AB:$AF,3,FALSE),VLOOKUP($D29,Oppslag!$AB:$AF,5,FALSE))*Z88),0)</f>
        <v>0</v>
      </c>
      <c r="AB88" s="261">
        <f t="shared" si="28"/>
        <v>0</v>
      </c>
    </row>
    <row r="89" spans="1:28" hidden="1" outlineLevel="1" x14ac:dyDescent="0.25">
      <c r="A89" s="177">
        <f t="shared" si="26"/>
        <v>0</v>
      </c>
      <c r="B89" s="177">
        <f t="shared" si="27"/>
        <v>0</v>
      </c>
      <c r="C89">
        <f>IFERROR(VLOOKUP(C30,Oppslag!B:D,3,FALSE),0)</f>
        <v>0</v>
      </c>
      <c r="D89" s="142">
        <f>((IF($D30&gt;0,IF($G30="Måneder",VLOOKUP($D30,Oppslag!$H:$O,5,FALSE())/12,VLOOKUP($D30,Oppslag!$H:$O,5,FALSE)),0))*H30)*(VLOOKUP(H$10,Oppslag!$AP:$AQ,2,FALSE))</f>
        <v>0</v>
      </c>
      <c r="E89" s="139">
        <f>IFERROR((IF($C89=1,VLOOKUP($D30,Oppslag!$AB:$AF,3,FALSE),VLOOKUP($D30,Oppslag!$AB:$AF,5,FALSE))*D89),0)</f>
        <v>0</v>
      </c>
      <c r="F89" s="264">
        <f>((IF($D30&gt;0,IF($G30="Måneder",VLOOKUP($D30,Oppslag!$H:$O,5,FALSE())/12,VLOOKUP($D30,Oppslag!$H:$O,5,FALSE)),0))*J30)*(VLOOKUP(J$10,Oppslag!$AP:$AQ,2,FALSE))</f>
        <v>0</v>
      </c>
      <c r="G89" s="264">
        <f>IFERROR((IF($C89=1,VLOOKUP($D30,Oppslag!$AB:$AF,3,FALSE),VLOOKUP($D30,Oppslag!$AB:$AF,5,FALSE))*F89),0)</f>
        <v>0</v>
      </c>
      <c r="H89" s="139">
        <f>((IF($D30&gt;0,IF($G30="Måneder",VLOOKUP($D30,Oppslag!$H:$O,5,FALSE())/12,VLOOKUP($D30,Oppslag!$H:$O,5,FALSE)),0))*L30)*(VLOOKUP(L$10,Oppslag!$AP:$AQ,2,FALSE))</f>
        <v>0</v>
      </c>
      <c r="I89" s="139">
        <f>IFERROR((IF($C89=1,VLOOKUP($D30,Oppslag!$AB:$AF,3,FALSE),VLOOKUP($D30,Oppslag!$AB:$AF,5,FALSE))*H89),0)</f>
        <v>0</v>
      </c>
      <c r="J89" s="264">
        <f>((IF($D30&gt;0,IF($G30="Måneder",VLOOKUP($D30,Oppslag!$H:$O,5,FALSE())/12,VLOOKUP($D30,Oppslag!$H:$O,5,FALSE)),0))*N30)*(VLOOKUP(N$10,Oppslag!$AP:$AQ,2,FALSE))</f>
        <v>0</v>
      </c>
      <c r="K89" s="264">
        <f>IFERROR((IF($C89=1,VLOOKUP($D30,Oppslag!$AB:$AF,3,FALSE),VLOOKUP($D30,Oppslag!$AB:$AF,5,FALSE))*J89),0)</f>
        <v>0</v>
      </c>
      <c r="L89" s="139">
        <f>((IF($D30&gt;0,IF($G30="Måneder",VLOOKUP($D30,Oppslag!$H:$O,5,FALSE())/12,VLOOKUP($D30,Oppslag!$H:$O,5,FALSE)),0))*P30)*(VLOOKUP(P$10,Oppslag!$AP:$AQ,2,FALSE))</f>
        <v>0</v>
      </c>
      <c r="M89" s="139">
        <f>IFERROR((IF($C89=1,VLOOKUP($D30,Oppslag!$AB:$AF,3,FALSE),VLOOKUP($D30,Oppslag!$AB:$AF,5,FALSE))*L89),0)</f>
        <v>0</v>
      </c>
      <c r="N89" s="264">
        <f>((IF($D30&gt;0,IF($G30="Måneder",VLOOKUP($D30,Oppslag!$H:$O,5,FALSE())/12,VLOOKUP($D30,Oppslag!$H:$O,5,FALSE)),0))*R30)*(VLOOKUP(R$10,Oppslag!$AP:$AQ,2,FALSE))</f>
        <v>0</v>
      </c>
      <c r="O89" s="264">
        <f>IFERROR((IF($C89=1,VLOOKUP($D30,Oppslag!$AB:$AF,3,FALSE),VLOOKUP($D30,Oppslag!$AB:$AF,5,FALSE))*N89),0)</f>
        <v>0</v>
      </c>
      <c r="P89" s="139">
        <f>((IF($D30&gt;0,IF($G30="Måneder",VLOOKUP($D30,Oppslag!$H:$O,5,FALSE())/12,VLOOKUP($D30,Oppslag!$H:$O,5,FALSE)),0))*T30)*(VLOOKUP(T$10,Oppslag!$AP:$AQ,2,FALSE))</f>
        <v>0</v>
      </c>
      <c r="Q89" s="139">
        <f>IFERROR((IF($C89=1,VLOOKUP($D30,Oppslag!$AB:$AF,3,FALSE),VLOOKUP($D30,Oppslag!$AB:$AF,5,FALSE))*P89),0)</f>
        <v>0</v>
      </c>
      <c r="R89" s="264">
        <f>((IF($D30&gt;0,IF($G30="Måneder",VLOOKUP($D30,Oppslag!$H:$O,5,FALSE())/12,VLOOKUP($D30,Oppslag!$H:$O,5,FALSE)),0))*V30)*(VLOOKUP(V$10,Oppslag!$AP:$AQ,2,FALSE))</f>
        <v>0</v>
      </c>
      <c r="S89" s="264">
        <f>IFERROR((IF($C89=1,VLOOKUP($D30,Oppslag!$AB:$AF,3,FALSE),VLOOKUP($D30,Oppslag!$AB:$AF,5,FALSE))*R89),0)</f>
        <v>0</v>
      </c>
      <c r="T89" s="139">
        <f>((IF($D30&gt;0,IF($G30="Måneder",VLOOKUP($D30,Oppslag!$H:$O,5,FALSE())/12,VLOOKUP($D30,Oppslag!$H:$O,5,FALSE)),0))*X30)*(VLOOKUP(X$10,Oppslag!$AP:$AQ,2,FALSE))</f>
        <v>0</v>
      </c>
      <c r="U89" s="139">
        <f>IFERROR((IF($C89=1,VLOOKUP($D30,Oppslag!$AB:$AF,3,FALSE),VLOOKUP($D30,Oppslag!$AB:$AF,5,FALSE))*T89),0)</f>
        <v>0</v>
      </c>
      <c r="V89" s="264">
        <f>((IF($D30&gt;0,IF($G30="Måneder",VLOOKUP($D30,Oppslag!$H:$O,5,FALSE())/12,VLOOKUP($D30,Oppslag!$H:$O,5,FALSE)),0))*Z30)*(VLOOKUP(Z$10,Oppslag!$AP:$AQ,2,FALSE))</f>
        <v>0</v>
      </c>
      <c r="W89" s="264">
        <f>IFERROR((IF($C89=1,VLOOKUP($D30,Oppslag!$AB:$AF,3,FALSE),VLOOKUP($D30,Oppslag!$AB:$AF,5,FALSE))*V89),0)</f>
        <v>0</v>
      </c>
      <c r="X89" s="139">
        <f>((IF($D30&gt;0,IF($G30="Måneder",VLOOKUP($D30,Oppslag!$H:$O,5,FALSE())/12,VLOOKUP($D30,Oppslag!$H:$O,5,FALSE)),0))*AB30)*(VLOOKUP(AB$10,Oppslag!$AP:$AQ,2,FALSE))</f>
        <v>0</v>
      </c>
      <c r="Y89" s="139">
        <f>IFERROR((IF($C89=1,VLOOKUP($D30,Oppslag!$AB:$AF,3,FALSE),VLOOKUP($D30,Oppslag!$AB:$AF,5,FALSE))*X89),0)</f>
        <v>0</v>
      </c>
      <c r="Z89" s="264">
        <f>((IF($D30&gt;0,IF($G30="Måneder",VLOOKUP($D30,Oppslag!$H:$O,5,FALSE())/12,VLOOKUP($D30,Oppslag!$H:$O,5,FALSE)),0))*AD30)*(VLOOKUP(AD$10,Oppslag!$AP:$AQ,2,FALSE))</f>
        <v>0</v>
      </c>
      <c r="AA89" s="264">
        <f>IFERROR((IF($C89=1,VLOOKUP($D30,Oppslag!$AB:$AF,3,FALSE),VLOOKUP($D30,Oppslag!$AB:$AF,5,FALSE))*Z89),0)</f>
        <v>0</v>
      </c>
      <c r="AB89" s="261">
        <f t="shared" si="28"/>
        <v>0</v>
      </c>
    </row>
    <row r="90" spans="1:28" hidden="1" outlineLevel="1" x14ac:dyDescent="0.25">
      <c r="A90" s="177">
        <f t="shared" si="26"/>
        <v>0</v>
      </c>
      <c r="B90" s="177">
        <f t="shared" si="27"/>
        <v>0</v>
      </c>
      <c r="C90">
        <f>IFERROR(VLOOKUP(C31,Oppslag!B:D,3,FALSE),0)</f>
        <v>0</v>
      </c>
      <c r="D90" s="142">
        <f>((IF($D31&gt;0,IF($G31="Måneder",VLOOKUP($D31,Oppslag!$H:$O,5,FALSE())/12,VLOOKUP($D31,Oppslag!$H:$O,5,FALSE)),0))*H31)*(VLOOKUP(H$10,Oppslag!$AP:$AQ,2,FALSE))</f>
        <v>0</v>
      </c>
      <c r="E90" s="139">
        <f>IFERROR((IF($C90=1,VLOOKUP($D31,Oppslag!$AB:$AF,3,FALSE),VLOOKUP($D31,Oppslag!$AB:$AF,5,FALSE))*D90),0)</f>
        <v>0</v>
      </c>
      <c r="F90" s="264">
        <f>((IF($D31&gt;0,IF($G31="Måneder",VLOOKUP($D31,Oppslag!$H:$O,5,FALSE())/12,VLOOKUP($D31,Oppslag!$H:$O,5,FALSE)),0))*J31)*(VLOOKUP(J$10,Oppslag!$AP:$AQ,2,FALSE))</f>
        <v>0</v>
      </c>
      <c r="G90" s="264">
        <f>IFERROR((IF($C90=1,VLOOKUP($D31,Oppslag!$AB:$AF,3,FALSE),VLOOKUP($D31,Oppslag!$AB:$AF,5,FALSE))*F90),0)</f>
        <v>0</v>
      </c>
      <c r="H90" s="139">
        <f>((IF($D31&gt;0,IF($G31="Måneder",VLOOKUP($D31,Oppslag!$H:$O,5,FALSE())/12,VLOOKUP($D31,Oppslag!$H:$O,5,FALSE)),0))*L31)*(VLOOKUP(L$10,Oppslag!$AP:$AQ,2,FALSE))</f>
        <v>0</v>
      </c>
      <c r="I90" s="139">
        <f>IFERROR((IF($C90=1,VLOOKUP($D31,Oppslag!$AB:$AF,3,FALSE),VLOOKUP($D31,Oppslag!$AB:$AF,5,FALSE))*H90),0)</f>
        <v>0</v>
      </c>
      <c r="J90" s="264">
        <f>((IF($D31&gt;0,IF($G31="Måneder",VLOOKUP($D31,Oppslag!$H:$O,5,FALSE())/12,VLOOKUP($D31,Oppslag!$H:$O,5,FALSE)),0))*N31)*(VLOOKUP(N$10,Oppslag!$AP:$AQ,2,FALSE))</f>
        <v>0</v>
      </c>
      <c r="K90" s="264">
        <f>IFERROR((IF($C90=1,VLOOKUP($D31,Oppslag!$AB:$AF,3,FALSE),VLOOKUP($D31,Oppslag!$AB:$AF,5,FALSE))*J90),0)</f>
        <v>0</v>
      </c>
      <c r="L90" s="139">
        <f>((IF($D31&gt;0,IF($G31="Måneder",VLOOKUP($D31,Oppslag!$H:$O,5,FALSE())/12,VLOOKUP($D31,Oppslag!$H:$O,5,FALSE)),0))*P31)*(VLOOKUP(P$10,Oppslag!$AP:$AQ,2,FALSE))</f>
        <v>0</v>
      </c>
      <c r="M90" s="139">
        <f>IFERROR((IF($C90=1,VLOOKUP($D31,Oppslag!$AB:$AF,3,FALSE),VLOOKUP($D31,Oppslag!$AB:$AF,5,FALSE))*L90),0)</f>
        <v>0</v>
      </c>
      <c r="N90" s="264">
        <f>((IF($D31&gt;0,IF($G31="Måneder",VLOOKUP($D31,Oppslag!$H:$O,5,FALSE())/12,VLOOKUP($D31,Oppslag!$H:$O,5,FALSE)),0))*R31)*(VLOOKUP(R$10,Oppslag!$AP:$AQ,2,FALSE))</f>
        <v>0</v>
      </c>
      <c r="O90" s="264">
        <f>IFERROR((IF($C90=1,VLOOKUP($D31,Oppslag!$AB:$AF,3,FALSE),VLOOKUP($D31,Oppslag!$AB:$AF,5,FALSE))*N90),0)</f>
        <v>0</v>
      </c>
      <c r="P90" s="139">
        <f>((IF($D31&gt;0,IF($G31="Måneder",VLOOKUP($D31,Oppslag!$H:$O,5,FALSE())/12,VLOOKUP($D31,Oppslag!$H:$O,5,FALSE)),0))*T31)*(VLOOKUP(T$10,Oppslag!$AP:$AQ,2,FALSE))</f>
        <v>0</v>
      </c>
      <c r="Q90" s="139">
        <f>IFERROR((IF($C90=1,VLOOKUP($D31,Oppslag!$AB:$AF,3,FALSE),VLOOKUP($D31,Oppslag!$AB:$AF,5,FALSE))*P90),0)</f>
        <v>0</v>
      </c>
      <c r="R90" s="264">
        <f>((IF($D31&gt;0,IF($G31="Måneder",VLOOKUP($D31,Oppslag!$H:$O,5,FALSE())/12,VLOOKUP($D31,Oppslag!$H:$O,5,FALSE)),0))*V31)*(VLOOKUP(V$10,Oppslag!$AP:$AQ,2,FALSE))</f>
        <v>0</v>
      </c>
      <c r="S90" s="264">
        <f>IFERROR((IF($C90=1,VLOOKUP($D31,Oppslag!$AB:$AF,3,FALSE),VLOOKUP($D31,Oppslag!$AB:$AF,5,FALSE))*R90),0)</f>
        <v>0</v>
      </c>
      <c r="T90" s="139">
        <f>((IF($D31&gt;0,IF($G31="Måneder",VLOOKUP($D31,Oppslag!$H:$O,5,FALSE())/12,VLOOKUP($D31,Oppslag!$H:$O,5,FALSE)),0))*X31)*(VLOOKUP(X$10,Oppslag!$AP:$AQ,2,FALSE))</f>
        <v>0</v>
      </c>
      <c r="U90" s="139">
        <f>IFERROR((IF($C90=1,VLOOKUP($D31,Oppslag!$AB:$AF,3,FALSE),VLOOKUP($D31,Oppslag!$AB:$AF,5,FALSE))*T90),0)</f>
        <v>0</v>
      </c>
      <c r="V90" s="264">
        <f>((IF($D31&gt;0,IF($G31="Måneder",VLOOKUP($D31,Oppslag!$H:$O,5,FALSE())/12,VLOOKUP($D31,Oppslag!$H:$O,5,FALSE)),0))*Z31)*(VLOOKUP(Z$10,Oppslag!$AP:$AQ,2,FALSE))</f>
        <v>0</v>
      </c>
      <c r="W90" s="264">
        <f>IFERROR((IF($C90=1,VLOOKUP($D31,Oppslag!$AB:$AF,3,FALSE),VLOOKUP($D31,Oppslag!$AB:$AF,5,FALSE))*V90),0)</f>
        <v>0</v>
      </c>
      <c r="X90" s="139">
        <f>((IF($D31&gt;0,IF($G31="Måneder",VLOOKUP($D31,Oppslag!$H:$O,5,FALSE())/12,VLOOKUP($D31,Oppslag!$H:$O,5,FALSE)),0))*AB31)*(VLOOKUP(AB$10,Oppslag!$AP:$AQ,2,FALSE))</f>
        <v>0</v>
      </c>
      <c r="Y90" s="139">
        <f>IFERROR((IF($C90=1,VLOOKUP($D31,Oppslag!$AB:$AF,3,FALSE),VLOOKUP($D31,Oppslag!$AB:$AF,5,FALSE))*X90),0)</f>
        <v>0</v>
      </c>
      <c r="Z90" s="264">
        <f>((IF($D31&gt;0,IF($G31="Måneder",VLOOKUP($D31,Oppslag!$H:$O,5,FALSE())/12,VLOOKUP($D31,Oppslag!$H:$O,5,FALSE)),0))*AD31)*(VLOOKUP(AD$10,Oppslag!$AP:$AQ,2,FALSE))</f>
        <v>0</v>
      </c>
      <c r="AA90" s="264">
        <f>IFERROR((IF($C90=1,VLOOKUP($D31,Oppslag!$AB:$AF,3,FALSE),VLOOKUP($D31,Oppslag!$AB:$AF,5,FALSE))*Z90),0)</f>
        <v>0</v>
      </c>
      <c r="AB90" s="261">
        <f t="shared" si="28"/>
        <v>0</v>
      </c>
    </row>
    <row r="91" spans="1:28" hidden="1" outlineLevel="1" x14ac:dyDescent="0.25">
      <c r="A91" s="177">
        <f t="shared" si="26"/>
        <v>0</v>
      </c>
      <c r="B91" s="177">
        <f t="shared" si="27"/>
        <v>0</v>
      </c>
      <c r="C91">
        <f>IFERROR(VLOOKUP(C32,Oppslag!B:D,3,FALSE),0)</f>
        <v>0</v>
      </c>
      <c r="D91" s="142">
        <f>((IF($D32&gt;0,IF($G32="Måneder",VLOOKUP($D32,Oppslag!$H:$O,5,FALSE())/12,VLOOKUP($D32,Oppslag!$H:$O,5,FALSE)),0))*H32)*(VLOOKUP(H$10,Oppslag!$AP:$AQ,2,FALSE))</f>
        <v>0</v>
      </c>
      <c r="E91" s="139">
        <f>IFERROR((IF($C91=1,VLOOKUP($D32,Oppslag!$AB:$AF,3,FALSE),VLOOKUP($D32,Oppslag!$AB:$AF,5,FALSE))*D91),0)</f>
        <v>0</v>
      </c>
      <c r="F91" s="264">
        <f>((IF($D32&gt;0,IF($G32="Måneder",VLOOKUP($D32,Oppslag!$H:$O,5,FALSE())/12,VLOOKUP($D32,Oppslag!$H:$O,5,FALSE)),0))*J32)*(VLOOKUP(J$10,Oppslag!$AP:$AQ,2,FALSE))</f>
        <v>0</v>
      </c>
      <c r="G91" s="264">
        <f>IFERROR((IF($C91=1,VLOOKUP($D32,Oppslag!$AB:$AF,3,FALSE),VLOOKUP($D32,Oppslag!$AB:$AF,5,FALSE))*F91),0)</f>
        <v>0</v>
      </c>
      <c r="H91" s="139">
        <f>((IF($D32&gt;0,IF($G32="Måneder",VLOOKUP($D32,Oppslag!$H:$O,5,FALSE())/12,VLOOKUP($D32,Oppslag!$H:$O,5,FALSE)),0))*L32)*(VLOOKUP(L$10,Oppslag!$AP:$AQ,2,FALSE))</f>
        <v>0</v>
      </c>
      <c r="I91" s="139">
        <f>IFERROR((IF($C91=1,VLOOKUP($D32,Oppslag!$AB:$AF,3,FALSE),VLOOKUP($D32,Oppslag!$AB:$AF,5,FALSE))*H91),0)</f>
        <v>0</v>
      </c>
      <c r="J91" s="264">
        <f>((IF($D32&gt;0,IF($G32="Måneder",VLOOKUP($D32,Oppslag!$H:$O,5,FALSE())/12,VLOOKUP($D32,Oppslag!$H:$O,5,FALSE)),0))*N32)*(VLOOKUP(N$10,Oppslag!$AP:$AQ,2,FALSE))</f>
        <v>0</v>
      </c>
      <c r="K91" s="264">
        <f>IFERROR((IF($C91=1,VLOOKUP($D32,Oppslag!$AB:$AF,3,FALSE),VLOOKUP($D32,Oppslag!$AB:$AF,5,FALSE))*J91),0)</f>
        <v>0</v>
      </c>
      <c r="L91" s="139">
        <f>((IF($D32&gt;0,IF($G32="Måneder",VLOOKUP($D32,Oppslag!$H:$O,5,FALSE())/12,VLOOKUP($D32,Oppslag!$H:$O,5,FALSE)),0))*P32)*(VLOOKUP(P$10,Oppslag!$AP:$AQ,2,FALSE))</f>
        <v>0</v>
      </c>
      <c r="M91" s="139">
        <f>IFERROR((IF($C91=1,VLOOKUP($D32,Oppslag!$AB:$AF,3,FALSE),VLOOKUP($D32,Oppslag!$AB:$AF,5,FALSE))*L91),0)</f>
        <v>0</v>
      </c>
      <c r="N91" s="264">
        <f>((IF($D32&gt;0,IF($G32="Måneder",VLOOKUP($D32,Oppslag!$H:$O,5,FALSE())/12,VLOOKUP($D32,Oppslag!$H:$O,5,FALSE)),0))*R32)*(VLOOKUP(R$10,Oppslag!$AP:$AQ,2,FALSE))</f>
        <v>0</v>
      </c>
      <c r="O91" s="264">
        <f>IFERROR((IF($C91=1,VLOOKUP($D32,Oppslag!$AB:$AF,3,FALSE),VLOOKUP($D32,Oppslag!$AB:$AF,5,FALSE))*N91),0)</f>
        <v>0</v>
      </c>
      <c r="P91" s="139">
        <f>((IF($D32&gt;0,IF($G32="Måneder",VLOOKUP($D32,Oppslag!$H:$O,5,FALSE())/12,VLOOKUP($D32,Oppslag!$H:$O,5,FALSE)),0))*T32)*(VLOOKUP(T$10,Oppslag!$AP:$AQ,2,FALSE))</f>
        <v>0</v>
      </c>
      <c r="Q91" s="139">
        <f>IFERROR((IF($C91=1,VLOOKUP($D32,Oppslag!$AB:$AF,3,FALSE),VLOOKUP($D32,Oppslag!$AB:$AF,5,FALSE))*P91),0)</f>
        <v>0</v>
      </c>
      <c r="R91" s="264">
        <f>((IF($D32&gt;0,IF($G32="Måneder",VLOOKUP($D32,Oppslag!$H:$O,5,FALSE())/12,VLOOKUP($D32,Oppslag!$H:$O,5,FALSE)),0))*V32)*(VLOOKUP(V$10,Oppslag!$AP:$AQ,2,FALSE))</f>
        <v>0</v>
      </c>
      <c r="S91" s="264">
        <f>IFERROR((IF($C91=1,VLOOKUP($D32,Oppslag!$AB:$AF,3,FALSE),VLOOKUP($D32,Oppslag!$AB:$AF,5,FALSE))*R91),0)</f>
        <v>0</v>
      </c>
      <c r="T91" s="139">
        <f>((IF($D32&gt;0,IF($G32="Måneder",VLOOKUP($D32,Oppslag!$H:$O,5,FALSE())/12,VLOOKUP($D32,Oppslag!$H:$O,5,FALSE)),0))*X32)*(VLOOKUP(X$10,Oppslag!$AP:$AQ,2,FALSE))</f>
        <v>0</v>
      </c>
      <c r="U91" s="139">
        <f>IFERROR((IF($C91=1,VLOOKUP($D32,Oppslag!$AB:$AF,3,FALSE),VLOOKUP($D32,Oppslag!$AB:$AF,5,FALSE))*T91),0)</f>
        <v>0</v>
      </c>
      <c r="V91" s="264">
        <f>((IF($D32&gt;0,IF($G32="Måneder",VLOOKUP($D32,Oppslag!$H:$O,5,FALSE())/12,VLOOKUP($D32,Oppslag!$H:$O,5,FALSE)),0))*Z32)*(VLOOKUP(Z$10,Oppslag!$AP:$AQ,2,FALSE))</f>
        <v>0</v>
      </c>
      <c r="W91" s="264">
        <f>IFERROR((IF($C91=1,VLOOKUP($D32,Oppslag!$AB:$AF,3,FALSE),VLOOKUP($D32,Oppslag!$AB:$AF,5,FALSE))*V91),0)</f>
        <v>0</v>
      </c>
      <c r="X91" s="139">
        <f>((IF($D32&gt;0,IF($G32="Måneder",VLOOKUP($D32,Oppslag!$H:$O,5,FALSE())/12,VLOOKUP($D32,Oppslag!$H:$O,5,FALSE)),0))*AB32)*(VLOOKUP(AB$10,Oppslag!$AP:$AQ,2,FALSE))</f>
        <v>0</v>
      </c>
      <c r="Y91" s="139">
        <f>IFERROR((IF($C91=1,VLOOKUP($D32,Oppslag!$AB:$AF,3,FALSE),VLOOKUP($D32,Oppslag!$AB:$AF,5,FALSE))*X91),0)</f>
        <v>0</v>
      </c>
      <c r="Z91" s="264">
        <f>((IF($D32&gt;0,IF($G32="Måneder",VLOOKUP($D32,Oppslag!$H:$O,5,FALSE())/12,VLOOKUP($D32,Oppslag!$H:$O,5,FALSE)),0))*AD32)*(VLOOKUP(AD$10,Oppslag!$AP:$AQ,2,FALSE))</f>
        <v>0</v>
      </c>
      <c r="AA91" s="264">
        <f>IFERROR((IF($C91=1,VLOOKUP($D32,Oppslag!$AB:$AF,3,FALSE),VLOOKUP($D32,Oppslag!$AB:$AF,5,FALSE))*Z91),0)</f>
        <v>0</v>
      </c>
      <c r="AB91" s="261">
        <f t="shared" si="28"/>
        <v>0</v>
      </c>
    </row>
    <row r="92" spans="1:28" hidden="1" outlineLevel="1" x14ac:dyDescent="0.25">
      <c r="A92" s="177">
        <f t="shared" si="26"/>
        <v>0</v>
      </c>
      <c r="B92" s="177">
        <f t="shared" si="27"/>
        <v>0</v>
      </c>
      <c r="C92">
        <f>IFERROR(VLOOKUP(C33,Oppslag!B:D,3,FALSE),0)</f>
        <v>0</v>
      </c>
      <c r="D92" s="142">
        <f>((IF($D33&gt;0,IF($G33="Måneder",VLOOKUP($D33,Oppslag!$H:$O,5,FALSE())/12,VLOOKUP($D33,Oppslag!$H:$O,5,FALSE)),0))*H33)*(VLOOKUP(H$10,Oppslag!$AP:$AQ,2,FALSE))</f>
        <v>0</v>
      </c>
      <c r="E92" s="139">
        <f>IFERROR((IF($C92=1,VLOOKUP($D33,Oppslag!$AB:$AF,3,FALSE),VLOOKUP($D33,Oppslag!$AB:$AF,5,FALSE))*D92),0)</f>
        <v>0</v>
      </c>
      <c r="F92" s="264">
        <f>((IF($D33&gt;0,IF($G33="Måneder",VLOOKUP($D33,Oppslag!$H:$O,5,FALSE())/12,VLOOKUP($D33,Oppslag!$H:$O,5,FALSE)),0))*J33)*(VLOOKUP(J$10,Oppslag!$AP:$AQ,2,FALSE))</f>
        <v>0</v>
      </c>
      <c r="G92" s="264">
        <f>IFERROR((IF($C92=1,VLOOKUP($D33,Oppslag!$AB:$AF,3,FALSE),VLOOKUP($D33,Oppslag!$AB:$AF,5,FALSE))*F92),0)</f>
        <v>0</v>
      </c>
      <c r="H92" s="139">
        <f>((IF($D33&gt;0,IF($G33="Måneder",VLOOKUP($D33,Oppslag!$H:$O,5,FALSE())/12,VLOOKUP($D33,Oppslag!$H:$O,5,FALSE)),0))*L33)*(VLOOKUP(L$10,Oppslag!$AP:$AQ,2,FALSE))</f>
        <v>0</v>
      </c>
      <c r="I92" s="139">
        <f>IFERROR((IF($C92=1,VLOOKUP($D33,Oppslag!$AB:$AF,3,FALSE),VLOOKUP($D33,Oppslag!$AB:$AF,5,FALSE))*H92),0)</f>
        <v>0</v>
      </c>
      <c r="J92" s="264">
        <f>((IF($D33&gt;0,IF($G33="Måneder",VLOOKUP($D33,Oppslag!$H:$O,5,FALSE())/12,VLOOKUP($D33,Oppslag!$H:$O,5,FALSE)),0))*N33)*(VLOOKUP(N$10,Oppslag!$AP:$AQ,2,FALSE))</f>
        <v>0</v>
      </c>
      <c r="K92" s="264">
        <f>IFERROR((IF($C92=1,VLOOKUP($D33,Oppslag!$AB:$AF,3,FALSE),VLOOKUP($D33,Oppslag!$AB:$AF,5,FALSE))*J92),0)</f>
        <v>0</v>
      </c>
      <c r="L92" s="139">
        <f>((IF($D33&gt;0,IF($G33="Måneder",VLOOKUP($D33,Oppslag!$H:$O,5,FALSE())/12,VLOOKUP($D33,Oppslag!$H:$O,5,FALSE)),0))*P33)*(VLOOKUP(P$10,Oppslag!$AP:$AQ,2,FALSE))</f>
        <v>0</v>
      </c>
      <c r="M92" s="139">
        <f>IFERROR((IF($C92=1,VLOOKUP($D33,Oppslag!$AB:$AF,3,FALSE),VLOOKUP($D33,Oppslag!$AB:$AF,5,FALSE))*L92),0)</f>
        <v>0</v>
      </c>
      <c r="N92" s="264">
        <f>((IF($D33&gt;0,IF($G33="Måneder",VLOOKUP($D33,Oppslag!$H:$O,5,FALSE())/12,VLOOKUP($D33,Oppslag!$H:$O,5,FALSE)),0))*R33)*(VLOOKUP(R$10,Oppslag!$AP:$AQ,2,FALSE))</f>
        <v>0</v>
      </c>
      <c r="O92" s="264">
        <f>IFERROR((IF($C92=1,VLOOKUP($D33,Oppslag!$AB:$AF,3,FALSE),VLOOKUP($D33,Oppslag!$AB:$AF,5,FALSE))*N92),0)</f>
        <v>0</v>
      </c>
      <c r="P92" s="139">
        <f>((IF($D33&gt;0,IF($G33="Måneder",VLOOKUP($D33,Oppslag!$H:$O,5,FALSE())/12,VLOOKUP($D33,Oppslag!$H:$O,5,FALSE)),0))*T33)*(VLOOKUP(T$10,Oppslag!$AP:$AQ,2,FALSE))</f>
        <v>0</v>
      </c>
      <c r="Q92" s="139">
        <f>IFERROR((IF($C92=1,VLOOKUP($D33,Oppslag!$AB:$AF,3,FALSE),VLOOKUP($D33,Oppslag!$AB:$AF,5,FALSE))*P92),0)</f>
        <v>0</v>
      </c>
      <c r="R92" s="264">
        <f>((IF($D33&gt;0,IF($G33="Måneder",VLOOKUP($D33,Oppslag!$H:$O,5,FALSE())/12,VLOOKUP($D33,Oppslag!$H:$O,5,FALSE)),0))*V33)*(VLOOKUP(V$10,Oppslag!$AP:$AQ,2,FALSE))</f>
        <v>0</v>
      </c>
      <c r="S92" s="264">
        <f>IFERROR((IF($C92=1,VLOOKUP($D33,Oppslag!$AB:$AF,3,FALSE),VLOOKUP($D33,Oppslag!$AB:$AF,5,FALSE))*R92),0)</f>
        <v>0</v>
      </c>
      <c r="T92" s="139">
        <f>((IF($D33&gt;0,IF($G33="Måneder",VLOOKUP($D33,Oppslag!$H:$O,5,FALSE())/12,VLOOKUP($D33,Oppslag!$H:$O,5,FALSE)),0))*X33)*(VLOOKUP(X$10,Oppslag!$AP:$AQ,2,FALSE))</f>
        <v>0</v>
      </c>
      <c r="U92" s="139">
        <f>IFERROR((IF($C92=1,VLOOKUP($D33,Oppslag!$AB:$AF,3,FALSE),VLOOKUP($D33,Oppslag!$AB:$AF,5,FALSE))*T92),0)</f>
        <v>0</v>
      </c>
      <c r="V92" s="264">
        <f>((IF($D33&gt;0,IF($G33="Måneder",VLOOKUP($D33,Oppslag!$H:$O,5,FALSE())/12,VLOOKUP($D33,Oppslag!$H:$O,5,FALSE)),0))*Z33)*(VLOOKUP(Z$10,Oppslag!$AP:$AQ,2,FALSE))</f>
        <v>0</v>
      </c>
      <c r="W92" s="264">
        <f>IFERROR((IF($C92=1,VLOOKUP($D33,Oppslag!$AB:$AF,3,FALSE),VLOOKUP($D33,Oppslag!$AB:$AF,5,FALSE))*V92),0)</f>
        <v>0</v>
      </c>
      <c r="X92" s="139">
        <f>((IF($D33&gt;0,IF($G33="Måneder",VLOOKUP($D33,Oppslag!$H:$O,5,FALSE())/12,VLOOKUP($D33,Oppslag!$H:$O,5,FALSE)),0))*AB33)*(VLOOKUP(AB$10,Oppslag!$AP:$AQ,2,FALSE))</f>
        <v>0</v>
      </c>
      <c r="Y92" s="139">
        <f>IFERROR((IF($C92=1,VLOOKUP($D33,Oppslag!$AB:$AF,3,FALSE),VLOOKUP($D33,Oppslag!$AB:$AF,5,FALSE))*X92),0)</f>
        <v>0</v>
      </c>
      <c r="Z92" s="264">
        <f>((IF($D33&gt;0,IF($G33="Måneder",VLOOKUP($D33,Oppslag!$H:$O,5,FALSE())/12,VLOOKUP($D33,Oppslag!$H:$O,5,FALSE)),0))*AD33)*(VLOOKUP(AD$10,Oppslag!$AP:$AQ,2,FALSE))</f>
        <v>0</v>
      </c>
      <c r="AA92" s="264">
        <f>IFERROR((IF($C92=1,VLOOKUP($D33,Oppslag!$AB:$AF,3,FALSE),VLOOKUP($D33,Oppslag!$AB:$AF,5,FALSE))*Z92),0)</f>
        <v>0</v>
      </c>
      <c r="AB92" s="261">
        <f t="shared" si="28"/>
        <v>0</v>
      </c>
    </row>
    <row r="93" spans="1:28" hidden="1" outlineLevel="1" x14ac:dyDescent="0.25">
      <c r="A93" s="177">
        <f t="shared" si="26"/>
        <v>0</v>
      </c>
      <c r="B93" s="177">
        <f t="shared" si="27"/>
        <v>0</v>
      </c>
      <c r="C93">
        <f>IFERROR(VLOOKUP(C34,Oppslag!B:D,3,FALSE),0)</f>
        <v>0</v>
      </c>
      <c r="D93" s="142">
        <f>((IF($D34&gt;0,IF($G34="Måneder",VLOOKUP($D34,Oppslag!$H:$O,5,FALSE())/12,VLOOKUP($D34,Oppslag!$H:$O,5,FALSE)),0))*H34)*(VLOOKUP(H$10,Oppslag!$AP:$AQ,2,FALSE))</f>
        <v>0</v>
      </c>
      <c r="E93" s="139">
        <f>IFERROR((IF($C93=1,VLOOKUP($D34,Oppslag!$AB:$AF,3,FALSE),VLOOKUP($D34,Oppslag!$AB:$AF,5,FALSE))*D93),0)</f>
        <v>0</v>
      </c>
      <c r="F93" s="264">
        <f>((IF($D34&gt;0,IF($G34="Måneder",VLOOKUP($D34,Oppslag!$H:$O,5,FALSE())/12,VLOOKUP($D34,Oppslag!$H:$O,5,FALSE)),0))*J34)*(VLOOKUP(J$10,Oppslag!$AP:$AQ,2,FALSE))</f>
        <v>0</v>
      </c>
      <c r="G93" s="264">
        <f>IFERROR((IF($C93=1,VLOOKUP($D34,Oppslag!$AB:$AF,3,FALSE),VLOOKUP($D34,Oppslag!$AB:$AF,5,FALSE))*F93),0)</f>
        <v>0</v>
      </c>
      <c r="H93" s="139">
        <f>((IF($D34&gt;0,IF($G34="Måneder",VLOOKUP($D34,Oppslag!$H:$O,5,FALSE())/12,VLOOKUP($D34,Oppslag!$H:$O,5,FALSE)),0))*L34)*(VLOOKUP(L$10,Oppslag!$AP:$AQ,2,FALSE))</f>
        <v>0</v>
      </c>
      <c r="I93" s="139">
        <f>IFERROR((IF($C93=1,VLOOKUP($D34,Oppslag!$AB:$AF,3,FALSE),VLOOKUP($D34,Oppslag!$AB:$AF,5,FALSE))*H93),0)</f>
        <v>0</v>
      </c>
      <c r="J93" s="264">
        <f>((IF($D34&gt;0,IF($G34="Måneder",VLOOKUP($D34,Oppslag!$H:$O,5,FALSE())/12,VLOOKUP($D34,Oppslag!$H:$O,5,FALSE)),0))*N34)*(VLOOKUP(N$10,Oppslag!$AP:$AQ,2,FALSE))</f>
        <v>0</v>
      </c>
      <c r="K93" s="264">
        <f>IFERROR((IF($C93=1,VLOOKUP($D34,Oppslag!$AB:$AF,3,FALSE),VLOOKUP($D34,Oppslag!$AB:$AF,5,FALSE))*J93),0)</f>
        <v>0</v>
      </c>
      <c r="L93" s="139">
        <f>((IF($D34&gt;0,IF($G34="Måneder",VLOOKUP($D34,Oppslag!$H:$O,5,FALSE())/12,VLOOKUP($D34,Oppslag!$H:$O,5,FALSE)),0))*P34)*(VLOOKUP(P$10,Oppslag!$AP:$AQ,2,FALSE))</f>
        <v>0</v>
      </c>
      <c r="M93" s="139">
        <f>IFERROR((IF($C93=1,VLOOKUP($D34,Oppslag!$AB:$AF,3,FALSE),VLOOKUP($D34,Oppslag!$AB:$AF,5,FALSE))*L93),0)</f>
        <v>0</v>
      </c>
      <c r="N93" s="264">
        <f>((IF($D34&gt;0,IF($G34="Måneder",VLOOKUP($D34,Oppslag!$H:$O,5,FALSE())/12,VLOOKUP($D34,Oppslag!$H:$O,5,FALSE)),0))*R34)*(VLOOKUP(R$10,Oppslag!$AP:$AQ,2,FALSE))</f>
        <v>0</v>
      </c>
      <c r="O93" s="264">
        <f>IFERROR((IF($C93=1,VLOOKUP($D34,Oppslag!$AB:$AF,3,FALSE),VLOOKUP($D34,Oppslag!$AB:$AF,5,FALSE))*N93),0)</f>
        <v>0</v>
      </c>
      <c r="P93" s="139">
        <f>((IF($D34&gt;0,IF($G34="Måneder",VLOOKUP($D34,Oppslag!$H:$O,5,FALSE())/12,VLOOKUP($D34,Oppslag!$H:$O,5,FALSE)),0))*T34)*(VLOOKUP(T$10,Oppslag!$AP:$AQ,2,FALSE))</f>
        <v>0</v>
      </c>
      <c r="Q93" s="139">
        <f>IFERROR((IF($C93=1,VLOOKUP($D34,Oppslag!$AB:$AF,3,FALSE),VLOOKUP($D34,Oppslag!$AB:$AF,5,FALSE))*P93),0)</f>
        <v>0</v>
      </c>
      <c r="R93" s="264">
        <f>((IF($D34&gt;0,IF($G34="Måneder",VLOOKUP($D34,Oppslag!$H:$O,5,FALSE())/12,VLOOKUP($D34,Oppslag!$H:$O,5,FALSE)),0))*V34)*(VLOOKUP(V$10,Oppslag!$AP:$AQ,2,FALSE))</f>
        <v>0</v>
      </c>
      <c r="S93" s="264">
        <f>IFERROR((IF($C93=1,VLOOKUP($D34,Oppslag!$AB:$AF,3,FALSE),VLOOKUP($D34,Oppslag!$AB:$AF,5,FALSE))*R93),0)</f>
        <v>0</v>
      </c>
      <c r="T93" s="139">
        <f>((IF($D34&gt;0,IF($G34="Måneder",VLOOKUP($D34,Oppslag!$H:$O,5,FALSE())/12,VLOOKUP($D34,Oppslag!$H:$O,5,FALSE)),0))*X34)*(VLOOKUP(X$10,Oppslag!$AP:$AQ,2,FALSE))</f>
        <v>0</v>
      </c>
      <c r="U93" s="139">
        <f>IFERROR((IF($C93=1,VLOOKUP($D34,Oppslag!$AB:$AF,3,FALSE),VLOOKUP($D34,Oppslag!$AB:$AF,5,FALSE))*T93),0)</f>
        <v>0</v>
      </c>
      <c r="V93" s="264">
        <f>((IF($D34&gt;0,IF($G34="Måneder",VLOOKUP($D34,Oppslag!$H:$O,5,FALSE())/12,VLOOKUP($D34,Oppslag!$H:$O,5,FALSE)),0))*Z34)*(VLOOKUP(Z$10,Oppslag!$AP:$AQ,2,FALSE))</f>
        <v>0</v>
      </c>
      <c r="W93" s="264">
        <f>IFERROR((IF($C93=1,VLOOKUP($D34,Oppslag!$AB:$AF,3,FALSE),VLOOKUP($D34,Oppslag!$AB:$AF,5,FALSE))*V93),0)</f>
        <v>0</v>
      </c>
      <c r="X93" s="139">
        <f>((IF($D34&gt;0,IF($G34="Måneder",VLOOKUP($D34,Oppslag!$H:$O,5,FALSE())/12,VLOOKUP($D34,Oppslag!$H:$O,5,FALSE)),0))*AB34)*(VLOOKUP(AB$10,Oppslag!$AP:$AQ,2,FALSE))</f>
        <v>0</v>
      </c>
      <c r="Y93" s="139">
        <f>IFERROR((IF($C93=1,VLOOKUP($D34,Oppslag!$AB:$AF,3,FALSE),VLOOKUP($D34,Oppslag!$AB:$AF,5,FALSE))*X93),0)</f>
        <v>0</v>
      </c>
      <c r="Z93" s="264">
        <f>((IF($D34&gt;0,IF($G34="Måneder",VLOOKUP($D34,Oppslag!$H:$O,5,FALSE())/12,VLOOKUP($D34,Oppslag!$H:$O,5,FALSE)),0))*AD34)*(VLOOKUP(AD$10,Oppslag!$AP:$AQ,2,FALSE))</f>
        <v>0</v>
      </c>
      <c r="AA93" s="264">
        <f>IFERROR((IF($C93=1,VLOOKUP($D34,Oppslag!$AB:$AF,3,FALSE),VLOOKUP($D34,Oppslag!$AB:$AF,5,FALSE))*Z93),0)</f>
        <v>0</v>
      </c>
      <c r="AB93" s="261">
        <f t="shared" si="28"/>
        <v>0</v>
      </c>
    </row>
    <row r="94" spans="1:28" hidden="1" outlineLevel="1" x14ac:dyDescent="0.25">
      <c r="A94" s="177">
        <f t="shared" si="26"/>
        <v>0</v>
      </c>
      <c r="B94" s="177">
        <f t="shared" si="27"/>
        <v>0</v>
      </c>
      <c r="C94">
        <f>IFERROR(VLOOKUP(C35,Oppslag!B:D,3,FALSE),0)</f>
        <v>0</v>
      </c>
      <c r="D94" s="142">
        <f>((IF($D35&gt;0,IF($G35="Måneder",VLOOKUP($D35,Oppslag!$H:$O,5,FALSE())/12,VLOOKUP($D35,Oppslag!$H:$O,5,FALSE)),0))*H35)*(VLOOKUP(H$10,Oppslag!$AP:$AQ,2,FALSE))</f>
        <v>0</v>
      </c>
      <c r="E94" s="139">
        <f>IFERROR((IF($C94=1,VLOOKUP($D35,Oppslag!$AB:$AF,3,FALSE),VLOOKUP($D35,Oppslag!$AB:$AF,5,FALSE))*D94),0)</f>
        <v>0</v>
      </c>
      <c r="F94" s="264">
        <f>((IF($D35&gt;0,IF($G35="Måneder",VLOOKUP($D35,Oppslag!$H:$O,5,FALSE())/12,VLOOKUP($D35,Oppslag!$H:$O,5,FALSE)),0))*J35)*(VLOOKUP(J$10,Oppslag!$AP:$AQ,2,FALSE))</f>
        <v>0</v>
      </c>
      <c r="G94" s="264">
        <f>IFERROR((IF($C94=1,VLOOKUP($D35,Oppslag!$AB:$AF,3,FALSE),VLOOKUP($D35,Oppslag!$AB:$AF,5,FALSE))*F94),0)</f>
        <v>0</v>
      </c>
      <c r="H94" s="139">
        <f>((IF($D35&gt;0,IF($G35="Måneder",VLOOKUP($D35,Oppslag!$H:$O,5,FALSE())/12,VLOOKUP($D35,Oppslag!$H:$O,5,FALSE)),0))*L35)*(VLOOKUP(L$10,Oppslag!$AP:$AQ,2,FALSE))</f>
        <v>0</v>
      </c>
      <c r="I94" s="139">
        <f>IFERROR((IF($C94=1,VLOOKUP($D35,Oppslag!$AB:$AF,3,FALSE),VLOOKUP($D35,Oppslag!$AB:$AF,5,FALSE))*H94),0)</f>
        <v>0</v>
      </c>
      <c r="J94" s="264">
        <f>((IF($D35&gt;0,IF($G35="Måneder",VLOOKUP($D35,Oppslag!$H:$O,5,FALSE())/12,VLOOKUP($D35,Oppslag!$H:$O,5,FALSE)),0))*N35)*(VLOOKUP(N$10,Oppslag!$AP:$AQ,2,FALSE))</f>
        <v>0</v>
      </c>
      <c r="K94" s="264">
        <f>IFERROR((IF($C94=1,VLOOKUP($D35,Oppslag!$AB:$AF,3,FALSE),VLOOKUP($D35,Oppslag!$AB:$AF,5,FALSE))*J94),0)</f>
        <v>0</v>
      </c>
      <c r="L94" s="139">
        <f>((IF($D35&gt;0,IF($G35="Måneder",VLOOKUP($D35,Oppslag!$H:$O,5,FALSE())/12,VLOOKUP($D35,Oppslag!$H:$O,5,FALSE)),0))*P35)*(VLOOKUP(P$10,Oppslag!$AP:$AQ,2,FALSE))</f>
        <v>0</v>
      </c>
      <c r="M94" s="139">
        <f>IFERROR((IF($C94=1,VLOOKUP($D35,Oppslag!$AB:$AF,3,FALSE),VLOOKUP($D35,Oppslag!$AB:$AF,5,FALSE))*L94),0)</f>
        <v>0</v>
      </c>
      <c r="N94" s="264">
        <f>((IF($D35&gt;0,IF($G35="Måneder",VLOOKUP($D35,Oppslag!$H:$O,5,FALSE())/12,VLOOKUP($D35,Oppslag!$H:$O,5,FALSE)),0))*R35)*(VLOOKUP(R$10,Oppslag!$AP:$AQ,2,FALSE))</f>
        <v>0</v>
      </c>
      <c r="O94" s="264">
        <f>IFERROR((IF($C94=1,VLOOKUP($D35,Oppslag!$AB:$AF,3,FALSE),VLOOKUP($D35,Oppslag!$AB:$AF,5,FALSE))*N94),0)</f>
        <v>0</v>
      </c>
      <c r="P94" s="139">
        <f>((IF($D35&gt;0,IF($G35="Måneder",VLOOKUP($D35,Oppslag!$H:$O,5,FALSE())/12,VLOOKUP($D35,Oppslag!$H:$O,5,FALSE)),0))*T35)*(VLOOKUP(T$10,Oppslag!$AP:$AQ,2,FALSE))</f>
        <v>0</v>
      </c>
      <c r="Q94" s="139">
        <f>IFERROR((IF($C94=1,VLOOKUP($D35,Oppslag!$AB:$AF,3,FALSE),VLOOKUP($D35,Oppslag!$AB:$AF,5,FALSE))*P94),0)</f>
        <v>0</v>
      </c>
      <c r="R94" s="264">
        <f>((IF($D35&gt;0,IF($G35="Måneder",VLOOKUP($D35,Oppslag!$H:$O,5,FALSE())/12,VLOOKUP($D35,Oppslag!$H:$O,5,FALSE)),0))*V35)*(VLOOKUP(V$10,Oppslag!$AP:$AQ,2,FALSE))</f>
        <v>0</v>
      </c>
      <c r="S94" s="264">
        <f>IFERROR((IF($C94=1,VLOOKUP($D35,Oppslag!$AB:$AF,3,FALSE),VLOOKUP($D35,Oppslag!$AB:$AF,5,FALSE))*R94),0)</f>
        <v>0</v>
      </c>
      <c r="T94" s="139">
        <f>((IF($D35&gt;0,IF($G35="Måneder",VLOOKUP($D35,Oppslag!$H:$O,5,FALSE())/12,VLOOKUP($D35,Oppslag!$H:$O,5,FALSE)),0))*X35)*(VLOOKUP(X$10,Oppslag!$AP:$AQ,2,FALSE))</f>
        <v>0</v>
      </c>
      <c r="U94" s="139">
        <f>IFERROR((IF($C94=1,VLOOKUP($D35,Oppslag!$AB:$AF,3,FALSE),VLOOKUP($D35,Oppslag!$AB:$AF,5,FALSE))*T94),0)</f>
        <v>0</v>
      </c>
      <c r="V94" s="264">
        <f>((IF($D35&gt;0,IF($G35="Måneder",VLOOKUP($D35,Oppslag!$H:$O,5,FALSE())/12,VLOOKUP($D35,Oppslag!$H:$O,5,FALSE)),0))*Z35)*(VLOOKUP(Z$10,Oppslag!$AP:$AQ,2,FALSE))</f>
        <v>0</v>
      </c>
      <c r="W94" s="264">
        <f>IFERROR((IF($C94=1,VLOOKUP($D35,Oppslag!$AB:$AF,3,FALSE),VLOOKUP($D35,Oppslag!$AB:$AF,5,FALSE))*V94),0)</f>
        <v>0</v>
      </c>
      <c r="X94" s="139">
        <f>((IF($D35&gt;0,IF($G35="Måneder",VLOOKUP($D35,Oppslag!$H:$O,5,FALSE())/12,VLOOKUP($D35,Oppslag!$H:$O,5,FALSE)),0))*AB35)*(VLOOKUP(AB$10,Oppslag!$AP:$AQ,2,FALSE))</f>
        <v>0</v>
      </c>
      <c r="Y94" s="139">
        <f>IFERROR((IF($C94=1,VLOOKUP($D35,Oppslag!$AB:$AF,3,FALSE),VLOOKUP($D35,Oppslag!$AB:$AF,5,FALSE))*X94),0)</f>
        <v>0</v>
      </c>
      <c r="Z94" s="264">
        <f>((IF($D35&gt;0,IF($G35="Måneder",VLOOKUP($D35,Oppslag!$H:$O,5,FALSE())/12,VLOOKUP($D35,Oppslag!$H:$O,5,FALSE)),0))*AD35)*(VLOOKUP(AD$10,Oppslag!$AP:$AQ,2,FALSE))</f>
        <v>0</v>
      </c>
      <c r="AA94" s="264">
        <f>IFERROR((IF($C94=1,VLOOKUP($D35,Oppslag!$AB:$AF,3,FALSE),VLOOKUP($D35,Oppslag!$AB:$AF,5,FALSE))*Z94),0)</f>
        <v>0</v>
      </c>
      <c r="AB94" s="261">
        <f t="shared" si="28"/>
        <v>0</v>
      </c>
    </row>
    <row r="95" spans="1:28" hidden="1" outlineLevel="1" x14ac:dyDescent="0.25">
      <c r="A95" s="177">
        <f t="shared" si="26"/>
        <v>0</v>
      </c>
      <c r="B95" s="177">
        <f t="shared" si="27"/>
        <v>0</v>
      </c>
      <c r="C95">
        <f>IFERROR(VLOOKUP(C36,Oppslag!B:D,3,FALSE),0)</f>
        <v>0</v>
      </c>
      <c r="D95" s="142">
        <f>((IF($D36&gt;0,IF($G36="Måneder",VLOOKUP($D36,Oppslag!$H:$O,5,FALSE())/12,VLOOKUP($D36,Oppslag!$H:$O,5,FALSE)),0))*H36)*(VLOOKUP(H$10,Oppslag!$AP:$AQ,2,FALSE))</f>
        <v>0</v>
      </c>
      <c r="E95" s="139">
        <f>IFERROR((IF($C95=1,VLOOKUP($D36,Oppslag!$AB:$AF,3,FALSE),VLOOKUP($D36,Oppslag!$AB:$AF,5,FALSE))*D95),0)</f>
        <v>0</v>
      </c>
      <c r="F95" s="264">
        <f>((IF($D36&gt;0,IF($G36="Måneder",VLOOKUP($D36,Oppslag!$H:$O,5,FALSE())/12,VLOOKUP($D36,Oppslag!$H:$O,5,FALSE)),0))*J36)*(VLOOKUP(J$10,Oppslag!$AP:$AQ,2,FALSE))</f>
        <v>0</v>
      </c>
      <c r="G95" s="264">
        <f>IFERROR((IF($C95=1,VLOOKUP($D36,Oppslag!$AB:$AF,3,FALSE),VLOOKUP($D36,Oppslag!$AB:$AF,5,FALSE))*F95),0)</f>
        <v>0</v>
      </c>
      <c r="H95" s="139">
        <f>((IF($D36&gt;0,IF($G36="Måneder",VLOOKUP($D36,Oppslag!$H:$O,5,FALSE())/12,VLOOKUP($D36,Oppslag!$H:$O,5,FALSE)),0))*L36)*(VLOOKUP(L$10,Oppslag!$AP:$AQ,2,FALSE))</f>
        <v>0</v>
      </c>
      <c r="I95" s="139">
        <f>IFERROR((IF($C95=1,VLOOKUP($D36,Oppslag!$AB:$AF,3,FALSE),VLOOKUP($D36,Oppslag!$AB:$AF,5,FALSE))*H95),0)</f>
        <v>0</v>
      </c>
      <c r="J95" s="264">
        <f>((IF($D36&gt;0,IF($G36="Måneder",VLOOKUP($D36,Oppslag!$H:$O,5,FALSE())/12,VLOOKUP($D36,Oppslag!$H:$O,5,FALSE)),0))*N36)*(VLOOKUP(N$10,Oppslag!$AP:$AQ,2,FALSE))</f>
        <v>0</v>
      </c>
      <c r="K95" s="264">
        <f>IFERROR((IF($C95=1,VLOOKUP($D36,Oppslag!$AB:$AF,3,FALSE),VLOOKUP($D36,Oppslag!$AB:$AF,5,FALSE))*J95),0)</f>
        <v>0</v>
      </c>
      <c r="L95" s="139">
        <f>((IF($D36&gt;0,IF($G36="Måneder",VLOOKUP($D36,Oppslag!$H:$O,5,FALSE())/12,VLOOKUP($D36,Oppslag!$H:$O,5,FALSE)),0))*P36)*(VLOOKUP(P$10,Oppslag!$AP:$AQ,2,FALSE))</f>
        <v>0</v>
      </c>
      <c r="M95" s="139">
        <f>IFERROR((IF($C95=1,VLOOKUP($D36,Oppslag!$AB:$AF,3,FALSE),VLOOKUP($D36,Oppslag!$AB:$AF,5,FALSE))*L95),0)</f>
        <v>0</v>
      </c>
      <c r="N95" s="264">
        <f>((IF($D36&gt;0,IF($G36="Måneder",VLOOKUP($D36,Oppslag!$H:$O,5,FALSE())/12,VLOOKUP($D36,Oppslag!$H:$O,5,FALSE)),0))*R36)*(VLOOKUP(R$10,Oppslag!$AP:$AQ,2,FALSE))</f>
        <v>0</v>
      </c>
      <c r="O95" s="264">
        <f>IFERROR((IF($C95=1,VLOOKUP($D36,Oppslag!$AB:$AF,3,FALSE),VLOOKUP($D36,Oppslag!$AB:$AF,5,FALSE))*N95),0)</f>
        <v>0</v>
      </c>
      <c r="P95" s="139">
        <f>((IF($D36&gt;0,IF($G36="Måneder",VLOOKUP($D36,Oppslag!$H:$O,5,FALSE())/12,VLOOKUP($D36,Oppslag!$H:$O,5,FALSE)),0))*T36)*(VLOOKUP(T$10,Oppslag!$AP:$AQ,2,FALSE))</f>
        <v>0</v>
      </c>
      <c r="Q95" s="139">
        <f>IFERROR((IF($C95=1,VLOOKUP($D36,Oppslag!$AB:$AF,3,FALSE),VLOOKUP($D36,Oppslag!$AB:$AF,5,FALSE))*P95),0)</f>
        <v>0</v>
      </c>
      <c r="R95" s="264">
        <f>((IF($D36&gt;0,IF($G36="Måneder",VLOOKUP($D36,Oppslag!$H:$O,5,FALSE())/12,VLOOKUP($D36,Oppslag!$H:$O,5,FALSE)),0))*V36)*(VLOOKUP(V$10,Oppslag!$AP:$AQ,2,FALSE))</f>
        <v>0</v>
      </c>
      <c r="S95" s="264">
        <f>IFERROR((IF($C95=1,VLOOKUP($D36,Oppslag!$AB:$AF,3,FALSE),VLOOKUP($D36,Oppslag!$AB:$AF,5,FALSE))*R95),0)</f>
        <v>0</v>
      </c>
      <c r="T95" s="139">
        <f>((IF($D36&gt;0,IF($G36="Måneder",VLOOKUP($D36,Oppslag!$H:$O,5,FALSE())/12,VLOOKUP($D36,Oppslag!$H:$O,5,FALSE)),0))*X36)*(VLOOKUP(X$10,Oppslag!$AP:$AQ,2,FALSE))</f>
        <v>0</v>
      </c>
      <c r="U95" s="139">
        <f>IFERROR((IF($C95=1,VLOOKUP($D36,Oppslag!$AB:$AF,3,FALSE),VLOOKUP($D36,Oppslag!$AB:$AF,5,FALSE))*T95),0)</f>
        <v>0</v>
      </c>
      <c r="V95" s="264">
        <f>((IF($D36&gt;0,IF($G36="Måneder",VLOOKUP($D36,Oppslag!$H:$O,5,FALSE())/12,VLOOKUP($D36,Oppslag!$H:$O,5,FALSE)),0))*Z36)*(VLOOKUP(Z$10,Oppslag!$AP:$AQ,2,FALSE))</f>
        <v>0</v>
      </c>
      <c r="W95" s="264">
        <f>IFERROR((IF($C95=1,VLOOKUP($D36,Oppslag!$AB:$AF,3,FALSE),VLOOKUP($D36,Oppslag!$AB:$AF,5,FALSE))*V95),0)</f>
        <v>0</v>
      </c>
      <c r="X95" s="139">
        <f>((IF($D36&gt;0,IF($G36="Måneder",VLOOKUP($D36,Oppslag!$H:$O,5,FALSE())/12,VLOOKUP($D36,Oppslag!$H:$O,5,FALSE)),0))*AB36)*(VLOOKUP(AB$10,Oppslag!$AP:$AQ,2,FALSE))</f>
        <v>0</v>
      </c>
      <c r="Y95" s="139">
        <f>IFERROR((IF($C95=1,VLOOKUP($D36,Oppslag!$AB:$AF,3,FALSE),VLOOKUP($D36,Oppslag!$AB:$AF,5,FALSE))*X95),0)</f>
        <v>0</v>
      </c>
      <c r="Z95" s="264">
        <f>((IF($D36&gt;0,IF($G36="Måneder",VLOOKUP($D36,Oppslag!$H:$O,5,FALSE())/12,VLOOKUP($D36,Oppslag!$H:$O,5,FALSE)),0))*AD36)*(VLOOKUP(AD$10,Oppslag!$AP:$AQ,2,FALSE))</f>
        <v>0</v>
      </c>
      <c r="AA95" s="264">
        <f>IFERROR((IF($C95=1,VLOOKUP($D36,Oppslag!$AB:$AF,3,FALSE),VLOOKUP($D36,Oppslag!$AB:$AF,5,FALSE))*Z95),0)</f>
        <v>0</v>
      </c>
      <c r="AB95" s="261">
        <f t="shared" si="28"/>
        <v>0</v>
      </c>
    </row>
    <row r="96" spans="1:28" hidden="1" outlineLevel="1" x14ac:dyDescent="0.25">
      <c r="A96" s="177">
        <f t="shared" si="26"/>
        <v>0</v>
      </c>
      <c r="B96" s="177">
        <f t="shared" si="27"/>
        <v>0</v>
      </c>
      <c r="C96">
        <f>IFERROR(VLOOKUP(C37,Oppslag!B:D,3,FALSE),0)</f>
        <v>0</v>
      </c>
      <c r="D96" s="142">
        <f>((IF($D37&gt;0,IF($G37="Måneder",VLOOKUP($D37,Oppslag!$H:$O,5,FALSE())/12,VLOOKUP($D37,Oppslag!$H:$O,5,FALSE)),0))*H37)*(VLOOKUP(H$10,Oppslag!$AP:$AQ,2,FALSE))</f>
        <v>0</v>
      </c>
      <c r="E96" s="139">
        <f>IFERROR((IF($C96=1,VLOOKUP($D37,Oppslag!$AB:$AF,3,FALSE),VLOOKUP($D37,Oppslag!$AB:$AF,5,FALSE))*D96),0)</f>
        <v>0</v>
      </c>
      <c r="F96" s="264">
        <f>((IF($D37&gt;0,IF($G37="Måneder",VLOOKUP($D37,Oppslag!$H:$O,5,FALSE())/12,VLOOKUP($D37,Oppslag!$H:$O,5,FALSE)),0))*J37)*(VLOOKUP(J$10,Oppslag!$AP:$AQ,2,FALSE))</f>
        <v>0</v>
      </c>
      <c r="G96" s="264">
        <f>IFERROR((IF($C96=1,VLOOKUP($D37,Oppslag!$AB:$AF,3,FALSE),VLOOKUP($D37,Oppslag!$AB:$AF,5,FALSE))*F96),0)</f>
        <v>0</v>
      </c>
      <c r="H96" s="139">
        <f>((IF($D37&gt;0,IF($G37="Måneder",VLOOKUP($D37,Oppslag!$H:$O,5,FALSE())/12,VLOOKUP($D37,Oppslag!$H:$O,5,FALSE)),0))*L37)*(VLOOKUP(L$10,Oppslag!$AP:$AQ,2,FALSE))</f>
        <v>0</v>
      </c>
      <c r="I96" s="139">
        <f>IFERROR((IF($C96=1,VLOOKUP($D37,Oppslag!$AB:$AF,3,FALSE),VLOOKUP($D37,Oppslag!$AB:$AF,5,FALSE))*H96),0)</f>
        <v>0</v>
      </c>
      <c r="J96" s="264">
        <f>((IF($D37&gt;0,IF($G37="Måneder",VLOOKUP($D37,Oppslag!$H:$O,5,FALSE())/12,VLOOKUP($D37,Oppslag!$H:$O,5,FALSE)),0))*N37)*(VLOOKUP(N$10,Oppslag!$AP:$AQ,2,FALSE))</f>
        <v>0</v>
      </c>
      <c r="K96" s="264">
        <f>IFERROR((IF($C96=1,VLOOKUP($D37,Oppslag!$AB:$AF,3,FALSE),VLOOKUP($D37,Oppslag!$AB:$AF,5,FALSE))*J96),0)</f>
        <v>0</v>
      </c>
      <c r="L96" s="139">
        <f>((IF($D37&gt;0,IF($G37="Måneder",VLOOKUP($D37,Oppslag!$H:$O,5,FALSE())/12,VLOOKUP($D37,Oppslag!$H:$O,5,FALSE)),0))*P37)*(VLOOKUP(P$10,Oppslag!$AP:$AQ,2,FALSE))</f>
        <v>0</v>
      </c>
      <c r="M96" s="139">
        <f>IFERROR((IF($C96=1,VLOOKUP($D37,Oppslag!$AB:$AF,3,FALSE),VLOOKUP($D37,Oppslag!$AB:$AF,5,FALSE))*L96),0)</f>
        <v>0</v>
      </c>
      <c r="N96" s="264">
        <f>((IF($D37&gt;0,IF($G37="Måneder",VLOOKUP($D37,Oppslag!$H:$O,5,FALSE())/12,VLOOKUP($D37,Oppslag!$H:$O,5,FALSE)),0))*R37)*(VLOOKUP(R$10,Oppslag!$AP:$AQ,2,FALSE))</f>
        <v>0</v>
      </c>
      <c r="O96" s="264">
        <f>IFERROR((IF($C96=1,VLOOKUP($D37,Oppslag!$AB:$AF,3,FALSE),VLOOKUP($D37,Oppslag!$AB:$AF,5,FALSE))*N96),0)</f>
        <v>0</v>
      </c>
      <c r="P96" s="139">
        <f>((IF($D37&gt;0,IF($G37="Måneder",VLOOKUP($D37,Oppslag!$H:$O,5,FALSE())/12,VLOOKUP($D37,Oppslag!$H:$O,5,FALSE)),0))*T37)*(VLOOKUP(T$10,Oppslag!$AP:$AQ,2,FALSE))</f>
        <v>0</v>
      </c>
      <c r="Q96" s="139">
        <f>IFERROR((IF($C96=1,VLOOKUP($D37,Oppslag!$AB:$AF,3,FALSE),VLOOKUP($D37,Oppslag!$AB:$AF,5,FALSE))*P96),0)</f>
        <v>0</v>
      </c>
      <c r="R96" s="264">
        <f>((IF($D37&gt;0,IF($G37="Måneder",VLOOKUP($D37,Oppslag!$H:$O,5,FALSE())/12,VLOOKUP($D37,Oppslag!$H:$O,5,FALSE)),0))*V37)*(VLOOKUP(V$10,Oppslag!$AP:$AQ,2,FALSE))</f>
        <v>0</v>
      </c>
      <c r="S96" s="264">
        <f>IFERROR((IF($C96=1,VLOOKUP($D37,Oppslag!$AB:$AF,3,FALSE),VLOOKUP($D37,Oppslag!$AB:$AF,5,FALSE))*R96),0)</f>
        <v>0</v>
      </c>
      <c r="T96" s="139">
        <f>((IF($D37&gt;0,IF($G37="Måneder",VLOOKUP($D37,Oppslag!$H:$O,5,FALSE())/12,VLOOKUP($D37,Oppslag!$H:$O,5,FALSE)),0))*X37)*(VLOOKUP(X$10,Oppslag!$AP:$AQ,2,FALSE))</f>
        <v>0</v>
      </c>
      <c r="U96" s="139">
        <f>IFERROR((IF($C96=1,VLOOKUP($D37,Oppslag!$AB:$AF,3,FALSE),VLOOKUP($D37,Oppslag!$AB:$AF,5,FALSE))*T96),0)</f>
        <v>0</v>
      </c>
      <c r="V96" s="264">
        <f>((IF($D37&gt;0,IF($G37="Måneder",VLOOKUP($D37,Oppslag!$H:$O,5,FALSE())/12,VLOOKUP($D37,Oppslag!$H:$O,5,FALSE)),0))*Z37)*(VLOOKUP(Z$10,Oppslag!$AP:$AQ,2,FALSE))</f>
        <v>0</v>
      </c>
      <c r="W96" s="264">
        <f>IFERROR((IF($C96=1,VLOOKUP($D37,Oppslag!$AB:$AF,3,FALSE),VLOOKUP($D37,Oppslag!$AB:$AF,5,FALSE))*V96),0)</f>
        <v>0</v>
      </c>
      <c r="X96" s="139">
        <f>((IF($D37&gt;0,IF($G37="Måneder",VLOOKUP($D37,Oppslag!$H:$O,5,FALSE())/12,VLOOKUP($D37,Oppslag!$H:$O,5,FALSE)),0))*AB37)*(VLOOKUP(AB$10,Oppslag!$AP:$AQ,2,FALSE))</f>
        <v>0</v>
      </c>
      <c r="Y96" s="139">
        <f>IFERROR((IF($C96=1,VLOOKUP($D37,Oppslag!$AB:$AF,3,FALSE),VLOOKUP($D37,Oppslag!$AB:$AF,5,FALSE))*X96),0)</f>
        <v>0</v>
      </c>
      <c r="Z96" s="264">
        <f>((IF($D37&gt;0,IF($G37="Måneder",VLOOKUP($D37,Oppslag!$H:$O,5,FALSE())/12,VLOOKUP($D37,Oppslag!$H:$O,5,FALSE)),0))*AD37)*(VLOOKUP(AD$10,Oppslag!$AP:$AQ,2,FALSE))</f>
        <v>0</v>
      </c>
      <c r="AA96" s="264">
        <f>IFERROR((IF($C96=1,VLOOKUP($D37,Oppslag!$AB:$AF,3,FALSE),VLOOKUP($D37,Oppslag!$AB:$AF,5,FALSE))*Z96),0)</f>
        <v>0</v>
      </c>
      <c r="AB96" s="261">
        <f t="shared" si="28"/>
        <v>0</v>
      </c>
    </row>
    <row r="97" spans="1:28" hidden="1" outlineLevel="1" x14ac:dyDescent="0.25">
      <c r="A97" s="177">
        <f t="shared" si="26"/>
        <v>0</v>
      </c>
      <c r="B97" s="177">
        <f t="shared" si="27"/>
        <v>0</v>
      </c>
      <c r="C97">
        <f>IFERROR(VLOOKUP(C38,Oppslag!B:D,3,FALSE),0)</f>
        <v>0</v>
      </c>
      <c r="D97" s="142">
        <f>((IF($D38&gt;0,IF($G38="Måneder",VLOOKUP($D38,Oppslag!$H:$O,5,FALSE())/12,VLOOKUP($D38,Oppslag!$H:$O,5,FALSE)),0))*H38)*(VLOOKUP(H$10,Oppslag!$AP:$AQ,2,FALSE))</f>
        <v>0</v>
      </c>
      <c r="E97" s="139">
        <f>IFERROR((IF($C97=1,VLOOKUP($D38,Oppslag!$AB:$AF,3,FALSE),VLOOKUP($D38,Oppslag!$AB:$AF,5,FALSE))*D97),0)</f>
        <v>0</v>
      </c>
      <c r="F97" s="264">
        <f>((IF($D38&gt;0,IF($G38="Måneder",VLOOKUP($D38,Oppslag!$H:$O,5,FALSE())/12,VLOOKUP($D38,Oppslag!$H:$O,5,FALSE)),0))*J38)*(VLOOKUP(J$10,Oppslag!$AP:$AQ,2,FALSE))</f>
        <v>0</v>
      </c>
      <c r="G97" s="264">
        <f>IFERROR((IF($C97=1,VLOOKUP($D38,Oppslag!$AB:$AF,3,FALSE),VLOOKUP($D38,Oppslag!$AB:$AF,5,FALSE))*F97),0)</f>
        <v>0</v>
      </c>
      <c r="H97" s="139">
        <f>((IF($D38&gt;0,IF($G38="Måneder",VLOOKUP($D38,Oppslag!$H:$O,5,FALSE())/12,VLOOKUP($D38,Oppslag!$H:$O,5,FALSE)),0))*L38)*(VLOOKUP(L$10,Oppslag!$AP:$AQ,2,FALSE))</f>
        <v>0</v>
      </c>
      <c r="I97" s="139">
        <f>IFERROR((IF($C97=1,VLOOKUP($D38,Oppslag!$AB:$AF,3,FALSE),VLOOKUP($D38,Oppslag!$AB:$AF,5,FALSE))*H97),0)</f>
        <v>0</v>
      </c>
      <c r="J97" s="264">
        <f>((IF($D38&gt;0,IF($G38="Måneder",VLOOKUP($D38,Oppslag!$H:$O,5,FALSE())/12,VLOOKUP($D38,Oppslag!$H:$O,5,FALSE)),0))*N38)*(VLOOKUP(N$10,Oppslag!$AP:$AQ,2,FALSE))</f>
        <v>0</v>
      </c>
      <c r="K97" s="264">
        <f>IFERROR((IF($C97=1,VLOOKUP($D38,Oppslag!$AB:$AF,3,FALSE),VLOOKUP($D38,Oppslag!$AB:$AF,5,FALSE))*J97),0)</f>
        <v>0</v>
      </c>
      <c r="L97" s="139">
        <f>((IF($D38&gt;0,IF($G38="Måneder",VLOOKUP($D38,Oppslag!$H:$O,5,FALSE())/12,VLOOKUP($D38,Oppslag!$H:$O,5,FALSE)),0))*P38)*(VLOOKUP(P$10,Oppslag!$AP:$AQ,2,FALSE))</f>
        <v>0</v>
      </c>
      <c r="M97" s="139">
        <f>IFERROR((IF($C97=1,VLOOKUP($D38,Oppslag!$AB:$AF,3,FALSE),VLOOKUP($D38,Oppslag!$AB:$AF,5,FALSE))*L97),0)</f>
        <v>0</v>
      </c>
      <c r="N97" s="264">
        <f>((IF($D38&gt;0,IF($G38="Måneder",VLOOKUP($D38,Oppslag!$H:$O,5,FALSE())/12,VLOOKUP($D38,Oppslag!$H:$O,5,FALSE)),0))*R38)*(VLOOKUP(R$10,Oppslag!$AP:$AQ,2,FALSE))</f>
        <v>0</v>
      </c>
      <c r="O97" s="264">
        <f>IFERROR((IF($C97=1,VLOOKUP($D38,Oppslag!$AB:$AF,3,FALSE),VLOOKUP($D38,Oppslag!$AB:$AF,5,FALSE))*N97),0)</f>
        <v>0</v>
      </c>
      <c r="P97" s="139">
        <f>((IF($D38&gt;0,IF($G38="Måneder",VLOOKUP($D38,Oppslag!$H:$O,5,FALSE())/12,VLOOKUP($D38,Oppslag!$H:$O,5,FALSE)),0))*T38)*(VLOOKUP(T$10,Oppslag!$AP:$AQ,2,FALSE))</f>
        <v>0</v>
      </c>
      <c r="Q97" s="139">
        <f>IFERROR((IF($C97=1,VLOOKUP($D38,Oppslag!$AB:$AF,3,FALSE),VLOOKUP($D38,Oppslag!$AB:$AF,5,FALSE))*P97),0)</f>
        <v>0</v>
      </c>
      <c r="R97" s="264">
        <f>((IF($D38&gt;0,IF($G38="Måneder",VLOOKUP($D38,Oppslag!$H:$O,5,FALSE())/12,VLOOKUP($D38,Oppslag!$H:$O,5,FALSE)),0))*V38)*(VLOOKUP(V$10,Oppslag!$AP:$AQ,2,FALSE))</f>
        <v>0</v>
      </c>
      <c r="S97" s="264">
        <f>IFERROR((IF($C97=1,VLOOKUP($D38,Oppslag!$AB:$AF,3,FALSE),VLOOKUP($D38,Oppslag!$AB:$AF,5,FALSE))*R97),0)</f>
        <v>0</v>
      </c>
      <c r="T97" s="139">
        <f>((IF($D38&gt;0,IF($G38="Måneder",VLOOKUP($D38,Oppslag!$H:$O,5,FALSE())/12,VLOOKUP($D38,Oppslag!$H:$O,5,FALSE)),0))*X38)*(VLOOKUP(X$10,Oppslag!$AP:$AQ,2,FALSE))</f>
        <v>0</v>
      </c>
      <c r="U97" s="139">
        <f>IFERROR((IF($C97=1,VLOOKUP($D38,Oppslag!$AB:$AF,3,FALSE),VLOOKUP($D38,Oppslag!$AB:$AF,5,FALSE))*T97),0)</f>
        <v>0</v>
      </c>
      <c r="V97" s="264">
        <f>((IF($D38&gt;0,IF($G38="Måneder",VLOOKUP($D38,Oppslag!$H:$O,5,FALSE())/12,VLOOKUP($D38,Oppslag!$H:$O,5,FALSE)),0))*Z38)*(VLOOKUP(Z$10,Oppslag!$AP:$AQ,2,FALSE))</f>
        <v>0</v>
      </c>
      <c r="W97" s="264">
        <f>IFERROR((IF($C97=1,VLOOKUP($D38,Oppslag!$AB:$AF,3,FALSE),VLOOKUP($D38,Oppslag!$AB:$AF,5,FALSE))*V97),0)</f>
        <v>0</v>
      </c>
      <c r="X97" s="139">
        <f>((IF($D38&gt;0,IF($G38="Måneder",VLOOKUP($D38,Oppslag!$H:$O,5,FALSE())/12,VLOOKUP($D38,Oppslag!$H:$O,5,FALSE)),0))*AB38)*(VLOOKUP(AB$10,Oppslag!$AP:$AQ,2,FALSE))</f>
        <v>0</v>
      </c>
      <c r="Y97" s="139">
        <f>IFERROR((IF($C97=1,VLOOKUP($D38,Oppslag!$AB:$AF,3,FALSE),VLOOKUP($D38,Oppslag!$AB:$AF,5,FALSE))*X97),0)</f>
        <v>0</v>
      </c>
      <c r="Z97" s="264">
        <f>((IF($D38&gt;0,IF($G38="Måneder",VLOOKUP($D38,Oppslag!$H:$O,5,FALSE())/12,VLOOKUP($D38,Oppslag!$H:$O,5,FALSE)),0))*AD38)*(VLOOKUP(AD$10,Oppslag!$AP:$AQ,2,FALSE))</f>
        <v>0</v>
      </c>
      <c r="AA97" s="264">
        <f>IFERROR((IF($C97=1,VLOOKUP($D38,Oppslag!$AB:$AF,3,FALSE),VLOOKUP($D38,Oppslag!$AB:$AF,5,FALSE))*Z97),0)</f>
        <v>0</v>
      </c>
      <c r="AB97" s="261">
        <f t="shared" si="28"/>
        <v>0</v>
      </c>
    </row>
    <row r="98" spans="1:28" hidden="1" outlineLevel="1" x14ac:dyDescent="0.25">
      <c r="A98" s="177">
        <f t="shared" si="26"/>
        <v>0</v>
      </c>
      <c r="B98" s="177">
        <f t="shared" si="27"/>
        <v>0</v>
      </c>
      <c r="C98">
        <f>IFERROR(VLOOKUP(C39,Oppslag!B:D,3,FALSE),0)</f>
        <v>0</v>
      </c>
      <c r="D98" s="142">
        <f>((IF($D39&gt;0,IF($G39="Måneder",VLOOKUP($D39,Oppslag!$H:$O,5,FALSE())/12,VLOOKUP($D39,Oppslag!$H:$O,5,FALSE)),0))*H39)*(VLOOKUP(H$10,Oppslag!$AP:$AQ,2,FALSE))</f>
        <v>0</v>
      </c>
      <c r="E98" s="139">
        <f>IFERROR((IF($C98=1,VLOOKUP($D39,Oppslag!$AB:$AF,3,FALSE),VLOOKUP($D39,Oppslag!$AB:$AF,5,FALSE))*D98),0)</f>
        <v>0</v>
      </c>
      <c r="F98" s="264">
        <f>((IF($D39&gt;0,IF($G39="Måneder",VLOOKUP($D39,Oppslag!$H:$O,5,FALSE())/12,VLOOKUP($D39,Oppslag!$H:$O,5,FALSE)),0))*J39)*(VLOOKUP(J$10,Oppslag!$AP:$AQ,2,FALSE))</f>
        <v>0</v>
      </c>
      <c r="G98" s="264">
        <f>IFERROR((IF($C98=1,VLOOKUP($D39,Oppslag!$AB:$AF,3,FALSE),VLOOKUP($D39,Oppslag!$AB:$AF,5,FALSE))*F98),0)</f>
        <v>0</v>
      </c>
      <c r="H98" s="139">
        <f>((IF($D39&gt;0,IF($G39="Måneder",VLOOKUP($D39,Oppslag!$H:$O,5,FALSE())/12,VLOOKUP($D39,Oppslag!$H:$O,5,FALSE)),0))*L39)*(VLOOKUP(L$10,Oppslag!$AP:$AQ,2,FALSE))</f>
        <v>0</v>
      </c>
      <c r="I98" s="139">
        <f>IFERROR((IF($C98=1,VLOOKUP($D39,Oppslag!$AB:$AF,3,FALSE),VLOOKUP($D39,Oppslag!$AB:$AF,5,FALSE))*H98),0)</f>
        <v>0</v>
      </c>
      <c r="J98" s="264">
        <f>((IF($D39&gt;0,IF($G39="Måneder",VLOOKUP($D39,Oppslag!$H:$O,5,FALSE())/12,VLOOKUP($D39,Oppslag!$H:$O,5,FALSE)),0))*N39)*(VLOOKUP(N$10,Oppslag!$AP:$AQ,2,FALSE))</f>
        <v>0</v>
      </c>
      <c r="K98" s="264">
        <f>IFERROR((IF($C98=1,VLOOKUP($D39,Oppslag!$AB:$AF,3,FALSE),VLOOKUP($D39,Oppslag!$AB:$AF,5,FALSE))*J98),0)</f>
        <v>0</v>
      </c>
      <c r="L98" s="139">
        <f>((IF($D39&gt;0,IF($G39="Måneder",VLOOKUP($D39,Oppslag!$H:$O,5,FALSE())/12,VLOOKUP($D39,Oppslag!$H:$O,5,FALSE)),0))*P39)*(VLOOKUP(P$10,Oppslag!$AP:$AQ,2,FALSE))</f>
        <v>0</v>
      </c>
      <c r="M98" s="139">
        <f>IFERROR((IF($C98=1,VLOOKUP($D39,Oppslag!$AB:$AF,3,FALSE),VLOOKUP($D39,Oppslag!$AB:$AF,5,FALSE))*L98),0)</f>
        <v>0</v>
      </c>
      <c r="N98" s="264">
        <f>((IF($D39&gt;0,IF($G39="Måneder",VLOOKUP($D39,Oppslag!$H:$O,5,FALSE())/12,VLOOKUP($D39,Oppslag!$H:$O,5,FALSE)),0))*R39)*(VLOOKUP(R$10,Oppslag!$AP:$AQ,2,FALSE))</f>
        <v>0</v>
      </c>
      <c r="O98" s="264">
        <f>IFERROR((IF($C98=1,VLOOKUP($D39,Oppslag!$AB:$AF,3,FALSE),VLOOKUP($D39,Oppslag!$AB:$AF,5,FALSE))*N98),0)</f>
        <v>0</v>
      </c>
      <c r="P98" s="139">
        <f>((IF($D39&gt;0,IF($G39="Måneder",VLOOKUP($D39,Oppslag!$H:$O,5,FALSE())/12,VLOOKUP($D39,Oppslag!$H:$O,5,FALSE)),0))*T39)*(VLOOKUP(T$10,Oppslag!$AP:$AQ,2,FALSE))</f>
        <v>0</v>
      </c>
      <c r="Q98" s="139">
        <f>IFERROR((IF($C98=1,VLOOKUP($D39,Oppslag!$AB:$AF,3,FALSE),VLOOKUP($D39,Oppslag!$AB:$AF,5,FALSE))*P98),0)</f>
        <v>0</v>
      </c>
      <c r="R98" s="264">
        <f>((IF($D39&gt;0,IF($G39="Måneder",VLOOKUP($D39,Oppslag!$H:$O,5,FALSE())/12,VLOOKUP($D39,Oppslag!$H:$O,5,FALSE)),0))*V39)*(VLOOKUP(V$10,Oppslag!$AP:$AQ,2,FALSE))</f>
        <v>0</v>
      </c>
      <c r="S98" s="264">
        <f>IFERROR((IF($C98=1,VLOOKUP($D39,Oppslag!$AB:$AF,3,FALSE),VLOOKUP($D39,Oppslag!$AB:$AF,5,FALSE))*R98),0)</f>
        <v>0</v>
      </c>
      <c r="T98" s="139">
        <f>((IF($D39&gt;0,IF($G39="Måneder",VLOOKUP($D39,Oppslag!$H:$O,5,FALSE())/12,VLOOKUP($D39,Oppslag!$H:$O,5,FALSE)),0))*X39)*(VLOOKUP(X$10,Oppslag!$AP:$AQ,2,FALSE))</f>
        <v>0</v>
      </c>
      <c r="U98" s="139">
        <f>IFERROR((IF($C98=1,VLOOKUP($D39,Oppslag!$AB:$AF,3,FALSE),VLOOKUP($D39,Oppslag!$AB:$AF,5,FALSE))*T98),0)</f>
        <v>0</v>
      </c>
      <c r="V98" s="264">
        <f>((IF($D39&gt;0,IF($G39="Måneder",VLOOKUP($D39,Oppslag!$H:$O,5,FALSE())/12,VLOOKUP($D39,Oppslag!$H:$O,5,FALSE)),0))*Z39)*(VLOOKUP(Z$10,Oppslag!$AP:$AQ,2,FALSE))</f>
        <v>0</v>
      </c>
      <c r="W98" s="264">
        <f>IFERROR((IF($C98=1,VLOOKUP($D39,Oppslag!$AB:$AF,3,FALSE),VLOOKUP($D39,Oppslag!$AB:$AF,5,FALSE))*V98),0)</f>
        <v>0</v>
      </c>
      <c r="X98" s="139">
        <f>((IF($D39&gt;0,IF($G39="Måneder",VLOOKUP($D39,Oppslag!$H:$O,5,FALSE())/12,VLOOKUP($D39,Oppslag!$H:$O,5,FALSE)),0))*AB39)*(VLOOKUP(AB$10,Oppslag!$AP:$AQ,2,FALSE))</f>
        <v>0</v>
      </c>
      <c r="Y98" s="139">
        <f>IFERROR((IF($C98=1,VLOOKUP($D39,Oppslag!$AB:$AF,3,FALSE),VLOOKUP($D39,Oppslag!$AB:$AF,5,FALSE))*X98),0)</f>
        <v>0</v>
      </c>
      <c r="Z98" s="264">
        <f>((IF($D39&gt;0,IF($G39="Måneder",VLOOKUP($D39,Oppslag!$H:$O,5,FALSE())/12,VLOOKUP($D39,Oppslag!$H:$O,5,FALSE)),0))*AD39)*(VLOOKUP(AD$10,Oppslag!$AP:$AQ,2,FALSE))</f>
        <v>0</v>
      </c>
      <c r="AA98" s="264">
        <f>IFERROR((IF($C98=1,VLOOKUP($D39,Oppslag!$AB:$AF,3,FALSE),VLOOKUP($D39,Oppslag!$AB:$AF,5,FALSE))*Z98),0)</f>
        <v>0</v>
      </c>
      <c r="AB98" s="261">
        <f t="shared" si="28"/>
        <v>0</v>
      </c>
    </row>
    <row r="99" spans="1:28" hidden="1" outlineLevel="1" x14ac:dyDescent="0.25">
      <c r="A99" s="177">
        <f t="shared" si="26"/>
        <v>0</v>
      </c>
      <c r="B99" s="177">
        <f t="shared" si="27"/>
        <v>0</v>
      </c>
      <c r="C99">
        <f>IFERROR(VLOOKUP(C40,Oppslag!B:D,3,FALSE),0)</f>
        <v>0</v>
      </c>
      <c r="D99" s="142">
        <f>((IF($D40&gt;0,IF($G40="Måneder",VLOOKUP($D40,Oppslag!$H:$O,5,FALSE())/12,VLOOKUP($D40,Oppslag!$H:$O,5,FALSE)),0))*H40)*(VLOOKUP(H$10,Oppslag!$AP:$AQ,2,FALSE))</f>
        <v>0</v>
      </c>
      <c r="E99" s="139">
        <f>IFERROR((IF($C99=1,VLOOKUP($D40,Oppslag!$AB:$AF,3,FALSE),VLOOKUP($D40,Oppslag!$AB:$AF,5,FALSE))*D99),0)</f>
        <v>0</v>
      </c>
      <c r="F99" s="264">
        <f>((IF($D40&gt;0,IF($G40="Måneder",VLOOKUP($D40,Oppslag!$H:$O,5,FALSE())/12,VLOOKUP($D40,Oppslag!$H:$O,5,FALSE)),0))*J40)*(VLOOKUP(J$10,Oppslag!$AP:$AQ,2,FALSE))</f>
        <v>0</v>
      </c>
      <c r="G99" s="264">
        <f>IFERROR((IF($C99=1,VLOOKUP($D40,Oppslag!$AB:$AF,3,FALSE),VLOOKUP($D40,Oppslag!$AB:$AF,5,FALSE))*F99),0)</f>
        <v>0</v>
      </c>
      <c r="H99" s="139">
        <f>((IF($D40&gt;0,IF($G40="Måneder",VLOOKUP($D40,Oppslag!$H:$O,5,FALSE())/12,VLOOKUP($D40,Oppslag!$H:$O,5,FALSE)),0))*L40)*(VLOOKUP(L$10,Oppslag!$AP:$AQ,2,FALSE))</f>
        <v>0</v>
      </c>
      <c r="I99" s="139">
        <f>IFERROR((IF($C99=1,VLOOKUP($D40,Oppslag!$AB:$AF,3,FALSE),VLOOKUP($D40,Oppslag!$AB:$AF,5,FALSE))*H99),0)</f>
        <v>0</v>
      </c>
      <c r="J99" s="264">
        <f>((IF($D40&gt;0,IF($G40="Måneder",VLOOKUP($D40,Oppslag!$H:$O,5,FALSE())/12,VLOOKUP($D40,Oppslag!$H:$O,5,FALSE)),0))*N40)*(VLOOKUP(N$10,Oppslag!$AP:$AQ,2,FALSE))</f>
        <v>0</v>
      </c>
      <c r="K99" s="264">
        <f>IFERROR((IF($C99=1,VLOOKUP($D40,Oppslag!$AB:$AF,3,FALSE),VLOOKUP($D40,Oppslag!$AB:$AF,5,FALSE))*J99),0)</f>
        <v>0</v>
      </c>
      <c r="L99" s="139">
        <f>((IF($D40&gt;0,IF($G40="Måneder",VLOOKUP($D40,Oppslag!$H:$O,5,FALSE())/12,VLOOKUP($D40,Oppslag!$H:$O,5,FALSE)),0))*P40)*(VLOOKUP(P$10,Oppslag!$AP:$AQ,2,FALSE))</f>
        <v>0</v>
      </c>
      <c r="M99" s="139">
        <f>IFERROR((IF($C99=1,VLOOKUP($D40,Oppslag!$AB:$AF,3,FALSE),VLOOKUP($D40,Oppslag!$AB:$AF,5,FALSE))*L99),0)</f>
        <v>0</v>
      </c>
      <c r="N99" s="264">
        <f>((IF($D40&gt;0,IF($G40="Måneder",VLOOKUP($D40,Oppslag!$H:$O,5,FALSE())/12,VLOOKUP($D40,Oppslag!$H:$O,5,FALSE)),0))*R40)*(VLOOKUP(R$10,Oppslag!$AP:$AQ,2,FALSE))</f>
        <v>0</v>
      </c>
      <c r="O99" s="264">
        <f>IFERROR((IF($C99=1,VLOOKUP($D40,Oppslag!$AB:$AF,3,FALSE),VLOOKUP($D40,Oppslag!$AB:$AF,5,FALSE))*N99),0)</f>
        <v>0</v>
      </c>
      <c r="P99" s="139">
        <f>((IF($D40&gt;0,IF($G40="Måneder",VLOOKUP($D40,Oppslag!$H:$O,5,FALSE())/12,VLOOKUP($D40,Oppslag!$H:$O,5,FALSE)),0))*T40)*(VLOOKUP(T$10,Oppslag!$AP:$AQ,2,FALSE))</f>
        <v>0</v>
      </c>
      <c r="Q99" s="139">
        <f>IFERROR((IF($C99=1,VLOOKUP($D40,Oppslag!$AB:$AF,3,FALSE),VLOOKUP($D40,Oppslag!$AB:$AF,5,FALSE))*P99),0)</f>
        <v>0</v>
      </c>
      <c r="R99" s="264">
        <f>((IF($D40&gt;0,IF($G40="Måneder",VLOOKUP($D40,Oppslag!$H:$O,5,FALSE())/12,VLOOKUP($D40,Oppslag!$H:$O,5,FALSE)),0))*V40)*(VLOOKUP(V$10,Oppslag!$AP:$AQ,2,FALSE))</f>
        <v>0</v>
      </c>
      <c r="S99" s="264">
        <f>IFERROR((IF($C99=1,VLOOKUP($D40,Oppslag!$AB:$AF,3,FALSE),VLOOKUP($D40,Oppslag!$AB:$AF,5,FALSE))*R99),0)</f>
        <v>0</v>
      </c>
      <c r="T99" s="139">
        <f>((IF($D40&gt;0,IF($G40="Måneder",VLOOKUP($D40,Oppslag!$H:$O,5,FALSE())/12,VLOOKUP($D40,Oppslag!$H:$O,5,FALSE)),0))*X40)*(VLOOKUP(X$10,Oppslag!$AP:$AQ,2,FALSE))</f>
        <v>0</v>
      </c>
      <c r="U99" s="139">
        <f>IFERROR((IF($C99=1,VLOOKUP($D40,Oppslag!$AB:$AF,3,FALSE),VLOOKUP($D40,Oppslag!$AB:$AF,5,FALSE))*T99),0)</f>
        <v>0</v>
      </c>
      <c r="V99" s="264">
        <f>((IF($D40&gt;0,IF($G40="Måneder",VLOOKUP($D40,Oppslag!$H:$O,5,FALSE())/12,VLOOKUP($D40,Oppslag!$H:$O,5,FALSE)),0))*Z40)*(VLOOKUP(Z$10,Oppslag!$AP:$AQ,2,FALSE))</f>
        <v>0</v>
      </c>
      <c r="W99" s="264">
        <f>IFERROR((IF($C99=1,VLOOKUP($D40,Oppslag!$AB:$AF,3,FALSE),VLOOKUP($D40,Oppslag!$AB:$AF,5,FALSE))*V99),0)</f>
        <v>0</v>
      </c>
      <c r="X99" s="139">
        <f>((IF($D40&gt;0,IF($G40="Måneder",VLOOKUP($D40,Oppslag!$H:$O,5,FALSE())/12,VLOOKUP($D40,Oppslag!$H:$O,5,FALSE)),0))*AB40)*(VLOOKUP(AB$10,Oppslag!$AP:$AQ,2,FALSE))</f>
        <v>0</v>
      </c>
      <c r="Y99" s="139">
        <f>IFERROR((IF($C99=1,VLOOKUP($D40,Oppslag!$AB:$AF,3,FALSE),VLOOKUP($D40,Oppslag!$AB:$AF,5,FALSE))*X99),0)</f>
        <v>0</v>
      </c>
      <c r="Z99" s="264">
        <f>((IF($D40&gt;0,IF($G40="Måneder",VLOOKUP($D40,Oppslag!$H:$O,5,FALSE())/12,VLOOKUP($D40,Oppslag!$H:$O,5,FALSE)),0))*AD40)*(VLOOKUP(AD$10,Oppslag!$AP:$AQ,2,FALSE))</f>
        <v>0</v>
      </c>
      <c r="AA99" s="264">
        <f>IFERROR((IF($C99=1,VLOOKUP($D40,Oppslag!$AB:$AF,3,FALSE),VLOOKUP($D40,Oppslag!$AB:$AF,5,FALSE))*Z99),0)</f>
        <v>0</v>
      </c>
      <c r="AB99" s="261">
        <f t="shared" si="28"/>
        <v>0</v>
      </c>
    </row>
    <row r="100" spans="1:28" hidden="1" outlineLevel="1" x14ac:dyDescent="0.25">
      <c r="A100" s="177">
        <f t="shared" si="26"/>
        <v>0</v>
      </c>
      <c r="B100" s="177">
        <f t="shared" si="27"/>
        <v>0</v>
      </c>
      <c r="C100">
        <f>IFERROR(VLOOKUP(C41,Oppslag!B:D,3,FALSE),0)</f>
        <v>0</v>
      </c>
      <c r="D100" s="142">
        <f>((IF($D41&gt;0,IF($G41="Måneder",VLOOKUP($D41,Oppslag!$H:$O,5,FALSE())/12,VLOOKUP($D41,Oppslag!$H:$O,5,FALSE)),0))*H41)*(VLOOKUP(H$10,Oppslag!$AP:$AQ,2,FALSE))</f>
        <v>0</v>
      </c>
      <c r="E100" s="139">
        <f>IFERROR((IF($C100=1,VLOOKUP($D41,Oppslag!$AB:$AF,3,FALSE),VLOOKUP($D41,Oppslag!$AB:$AF,5,FALSE))*D100),0)</f>
        <v>0</v>
      </c>
      <c r="F100" s="264">
        <f>((IF($D41&gt;0,IF($G41="Måneder",VLOOKUP($D41,Oppslag!$H:$O,5,FALSE())/12,VLOOKUP($D41,Oppslag!$H:$O,5,FALSE)),0))*J41)*(VLOOKUP(J$10,Oppslag!$AP:$AQ,2,FALSE))</f>
        <v>0</v>
      </c>
      <c r="G100" s="264">
        <f>IFERROR((IF($C100=1,VLOOKUP($D41,Oppslag!$AB:$AF,3,FALSE),VLOOKUP($D41,Oppslag!$AB:$AF,5,FALSE))*F100),0)</f>
        <v>0</v>
      </c>
      <c r="H100" s="139">
        <f>((IF($D41&gt;0,IF($G41="Måneder",VLOOKUP($D41,Oppslag!$H:$O,5,FALSE())/12,VLOOKUP($D41,Oppslag!$H:$O,5,FALSE)),0))*L41)*(VLOOKUP(L$10,Oppslag!$AP:$AQ,2,FALSE))</f>
        <v>0</v>
      </c>
      <c r="I100" s="139">
        <f>IFERROR((IF($C100=1,VLOOKUP($D41,Oppslag!$AB:$AF,3,FALSE),VLOOKUP($D41,Oppslag!$AB:$AF,5,FALSE))*H100),0)</f>
        <v>0</v>
      </c>
      <c r="J100" s="264">
        <f>((IF($D41&gt;0,IF($G41="Måneder",VLOOKUP($D41,Oppslag!$H:$O,5,FALSE())/12,VLOOKUP($D41,Oppslag!$H:$O,5,FALSE)),0))*N41)*(VLOOKUP(N$10,Oppslag!$AP:$AQ,2,FALSE))</f>
        <v>0</v>
      </c>
      <c r="K100" s="264">
        <f>IFERROR((IF($C100=1,VLOOKUP($D41,Oppslag!$AB:$AF,3,FALSE),VLOOKUP($D41,Oppslag!$AB:$AF,5,FALSE))*J100),0)</f>
        <v>0</v>
      </c>
      <c r="L100" s="139">
        <f>((IF($D41&gt;0,IF($G41="Måneder",VLOOKUP($D41,Oppslag!$H:$O,5,FALSE())/12,VLOOKUP($D41,Oppslag!$H:$O,5,FALSE)),0))*P41)*(VLOOKUP(P$10,Oppslag!$AP:$AQ,2,FALSE))</f>
        <v>0</v>
      </c>
      <c r="M100" s="139">
        <f>IFERROR((IF($C100=1,VLOOKUP($D41,Oppslag!$AB:$AF,3,FALSE),VLOOKUP($D41,Oppslag!$AB:$AF,5,FALSE))*L100),0)</f>
        <v>0</v>
      </c>
      <c r="N100" s="264">
        <f>((IF($D41&gt;0,IF($G41="Måneder",VLOOKUP($D41,Oppslag!$H:$O,5,FALSE())/12,VLOOKUP($D41,Oppslag!$H:$O,5,FALSE)),0))*R41)*(VLOOKUP(R$10,Oppslag!$AP:$AQ,2,FALSE))</f>
        <v>0</v>
      </c>
      <c r="O100" s="264">
        <f>IFERROR((IF($C100=1,VLOOKUP($D41,Oppslag!$AB:$AF,3,FALSE),VLOOKUP($D41,Oppslag!$AB:$AF,5,FALSE))*N100),0)</f>
        <v>0</v>
      </c>
      <c r="P100" s="139">
        <f>((IF($D41&gt;0,IF($G41="Måneder",VLOOKUP($D41,Oppslag!$H:$O,5,FALSE())/12,VLOOKUP($D41,Oppslag!$H:$O,5,FALSE)),0))*T41)*(VLOOKUP(T$10,Oppslag!$AP:$AQ,2,FALSE))</f>
        <v>0</v>
      </c>
      <c r="Q100" s="139">
        <f>IFERROR((IF($C100=1,VLOOKUP($D41,Oppslag!$AB:$AF,3,FALSE),VLOOKUP($D41,Oppslag!$AB:$AF,5,FALSE))*P100),0)</f>
        <v>0</v>
      </c>
      <c r="R100" s="264">
        <f>((IF($D41&gt;0,IF($G41="Måneder",VLOOKUP($D41,Oppslag!$H:$O,5,FALSE())/12,VLOOKUP($D41,Oppslag!$H:$O,5,FALSE)),0))*V41)*(VLOOKUP(V$10,Oppslag!$AP:$AQ,2,FALSE))</f>
        <v>0</v>
      </c>
      <c r="S100" s="264">
        <f>IFERROR((IF($C100=1,VLOOKUP($D41,Oppslag!$AB:$AF,3,FALSE),VLOOKUP($D41,Oppslag!$AB:$AF,5,FALSE))*R100),0)</f>
        <v>0</v>
      </c>
      <c r="T100" s="139">
        <f>((IF($D41&gt;0,IF($G41="Måneder",VLOOKUP($D41,Oppslag!$H:$O,5,FALSE())/12,VLOOKUP($D41,Oppslag!$H:$O,5,FALSE)),0))*X41)*(VLOOKUP(X$10,Oppslag!$AP:$AQ,2,FALSE))</f>
        <v>0</v>
      </c>
      <c r="U100" s="139">
        <f>IFERROR((IF($C100=1,VLOOKUP($D41,Oppslag!$AB:$AF,3,FALSE),VLOOKUP($D41,Oppslag!$AB:$AF,5,FALSE))*T100),0)</f>
        <v>0</v>
      </c>
      <c r="V100" s="264">
        <f>((IF($D41&gt;0,IF($G41="Måneder",VLOOKUP($D41,Oppslag!$H:$O,5,FALSE())/12,VLOOKUP($D41,Oppslag!$H:$O,5,FALSE)),0))*Z41)*(VLOOKUP(Z$10,Oppslag!$AP:$AQ,2,FALSE))</f>
        <v>0</v>
      </c>
      <c r="W100" s="264">
        <f>IFERROR((IF($C100=1,VLOOKUP($D41,Oppslag!$AB:$AF,3,FALSE),VLOOKUP($D41,Oppslag!$AB:$AF,5,FALSE))*V100),0)</f>
        <v>0</v>
      </c>
      <c r="X100" s="139">
        <f>((IF($D41&gt;0,IF($G41="Måneder",VLOOKUP($D41,Oppslag!$H:$O,5,FALSE())/12,VLOOKUP($D41,Oppslag!$H:$O,5,FALSE)),0))*AB41)*(VLOOKUP(AB$10,Oppslag!$AP:$AQ,2,FALSE))</f>
        <v>0</v>
      </c>
      <c r="Y100" s="139">
        <f>IFERROR((IF($C100=1,VLOOKUP($D41,Oppslag!$AB:$AF,3,FALSE),VLOOKUP($D41,Oppslag!$AB:$AF,5,FALSE))*X100),0)</f>
        <v>0</v>
      </c>
      <c r="Z100" s="264">
        <f>((IF($D41&gt;0,IF($G41="Måneder",VLOOKUP($D41,Oppslag!$H:$O,5,FALSE())/12,VLOOKUP($D41,Oppslag!$H:$O,5,FALSE)),0))*AD41)*(VLOOKUP(AD$10,Oppslag!$AP:$AQ,2,FALSE))</f>
        <v>0</v>
      </c>
      <c r="AA100" s="264">
        <f>IFERROR((IF($C100=1,VLOOKUP($D41,Oppslag!$AB:$AF,3,FALSE),VLOOKUP($D41,Oppslag!$AB:$AF,5,FALSE))*Z100),0)</f>
        <v>0</v>
      </c>
      <c r="AB100" s="261">
        <f t="shared" si="28"/>
        <v>0</v>
      </c>
    </row>
    <row r="101" spans="1:28" hidden="1" outlineLevel="1" x14ac:dyDescent="0.25">
      <c r="A101" s="177">
        <f t="shared" si="26"/>
        <v>0</v>
      </c>
      <c r="B101" s="177">
        <f t="shared" si="27"/>
        <v>0</v>
      </c>
      <c r="C101">
        <f>IFERROR(VLOOKUP(C42,Oppslag!B:D,3,FALSE),0)</f>
        <v>0</v>
      </c>
      <c r="D101" s="142">
        <f>((IF($D42&gt;0,IF($G42="Måneder",VLOOKUP($D42,Oppslag!$H:$O,5,FALSE())/12,VLOOKUP($D42,Oppslag!$H:$O,5,FALSE)),0))*H42)*(VLOOKUP(H$10,Oppslag!$AP:$AQ,2,FALSE))</f>
        <v>0</v>
      </c>
      <c r="E101" s="139">
        <f>IFERROR((IF($C101=1,VLOOKUP($D42,Oppslag!$AB:$AF,3,FALSE),VLOOKUP($D42,Oppslag!$AB:$AF,5,FALSE))*D101),0)</f>
        <v>0</v>
      </c>
      <c r="F101" s="264">
        <f>((IF($D42&gt;0,IF($G42="Måneder",VLOOKUP($D42,Oppslag!$H:$O,5,FALSE())/12,VLOOKUP($D42,Oppslag!$H:$O,5,FALSE)),0))*J42)*(VLOOKUP(J$10,Oppslag!$AP:$AQ,2,FALSE))</f>
        <v>0</v>
      </c>
      <c r="G101" s="264">
        <f>IFERROR((IF($C101=1,VLOOKUP($D42,Oppslag!$AB:$AF,3,FALSE),VLOOKUP($D42,Oppslag!$AB:$AF,5,FALSE))*F101),0)</f>
        <v>0</v>
      </c>
      <c r="H101" s="139">
        <f>((IF($D42&gt;0,IF($G42="Måneder",VLOOKUP($D42,Oppslag!$H:$O,5,FALSE())/12,VLOOKUP($D42,Oppslag!$H:$O,5,FALSE)),0))*L42)*(VLOOKUP(L$10,Oppslag!$AP:$AQ,2,FALSE))</f>
        <v>0</v>
      </c>
      <c r="I101" s="139">
        <f>IFERROR((IF($C101=1,VLOOKUP($D42,Oppslag!$AB:$AF,3,FALSE),VLOOKUP($D42,Oppslag!$AB:$AF,5,FALSE))*H101),0)</f>
        <v>0</v>
      </c>
      <c r="J101" s="264">
        <f>((IF($D42&gt;0,IF($G42="Måneder",VLOOKUP($D42,Oppslag!$H:$O,5,FALSE())/12,VLOOKUP($D42,Oppslag!$H:$O,5,FALSE)),0))*N42)*(VLOOKUP(N$10,Oppslag!$AP:$AQ,2,FALSE))</f>
        <v>0</v>
      </c>
      <c r="K101" s="264">
        <f>IFERROR((IF($C101=1,VLOOKUP($D42,Oppslag!$AB:$AF,3,FALSE),VLOOKUP($D42,Oppslag!$AB:$AF,5,FALSE))*J101),0)</f>
        <v>0</v>
      </c>
      <c r="L101" s="139">
        <f>((IF($D42&gt;0,IF($G42="Måneder",VLOOKUP($D42,Oppslag!$H:$O,5,FALSE())/12,VLOOKUP($D42,Oppslag!$H:$O,5,FALSE)),0))*P42)*(VLOOKUP(P$10,Oppslag!$AP:$AQ,2,FALSE))</f>
        <v>0</v>
      </c>
      <c r="M101" s="139">
        <f>IFERROR((IF($C101=1,VLOOKUP($D42,Oppslag!$AB:$AF,3,FALSE),VLOOKUP($D42,Oppslag!$AB:$AF,5,FALSE))*L101),0)</f>
        <v>0</v>
      </c>
      <c r="N101" s="264">
        <f>((IF($D42&gt;0,IF($G42="Måneder",VLOOKUP($D42,Oppslag!$H:$O,5,FALSE())/12,VLOOKUP($D42,Oppslag!$H:$O,5,FALSE)),0))*R42)*(VLOOKUP(R$10,Oppslag!$AP:$AQ,2,FALSE))</f>
        <v>0</v>
      </c>
      <c r="O101" s="264">
        <f>IFERROR((IF($C101=1,VLOOKUP($D42,Oppslag!$AB:$AF,3,FALSE),VLOOKUP($D42,Oppslag!$AB:$AF,5,FALSE))*N101),0)</f>
        <v>0</v>
      </c>
      <c r="P101" s="139">
        <f>((IF($D42&gt;0,IF($G42="Måneder",VLOOKUP($D42,Oppslag!$H:$O,5,FALSE())/12,VLOOKUP($D42,Oppslag!$H:$O,5,FALSE)),0))*T42)*(VLOOKUP(T$10,Oppslag!$AP:$AQ,2,FALSE))</f>
        <v>0</v>
      </c>
      <c r="Q101" s="139">
        <f>IFERROR((IF($C101=1,VLOOKUP($D42,Oppslag!$AB:$AF,3,FALSE),VLOOKUP($D42,Oppslag!$AB:$AF,5,FALSE))*P101),0)</f>
        <v>0</v>
      </c>
      <c r="R101" s="264">
        <f>((IF($D42&gt;0,IF($G42="Måneder",VLOOKUP($D42,Oppslag!$H:$O,5,FALSE())/12,VLOOKUP($D42,Oppslag!$H:$O,5,FALSE)),0))*V42)*(VLOOKUP(V$10,Oppslag!$AP:$AQ,2,FALSE))</f>
        <v>0</v>
      </c>
      <c r="S101" s="264">
        <f>IFERROR((IF($C101=1,VLOOKUP($D42,Oppslag!$AB:$AF,3,FALSE),VLOOKUP($D42,Oppslag!$AB:$AF,5,FALSE))*R101),0)</f>
        <v>0</v>
      </c>
      <c r="T101" s="139">
        <f>((IF($D42&gt;0,IF($G42="Måneder",VLOOKUP($D42,Oppslag!$H:$O,5,FALSE())/12,VLOOKUP($D42,Oppslag!$H:$O,5,FALSE)),0))*X42)*(VLOOKUP(X$10,Oppslag!$AP:$AQ,2,FALSE))</f>
        <v>0</v>
      </c>
      <c r="U101" s="139">
        <f>IFERROR((IF($C101=1,VLOOKUP($D42,Oppslag!$AB:$AF,3,FALSE),VLOOKUP($D42,Oppslag!$AB:$AF,5,FALSE))*T101),0)</f>
        <v>0</v>
      </c>
      <c r="V101" s="264">
        <f>((IF($D42&gt;0,IF($G42="Måneder",VLOOKUP($D42,Oppslag!$H:$O,5,FALSE())/12,VLOOKUP($D42,Oppslag!$H:$O,5,FALSE)),0))*Z42)*(VLOOKUP(Z$10,Oppslag!$AP:$AQ,2,FALSE))</f>
        <v>0</v>
      </c>
      <c r="W101" s="264">
        <f>IFERROR((IF($C101=1,VLOOKUP($D42,Oppslag!$AB:$AF,3,FALSE),VLOOKUP($D42,Oppslag!$AB:$AF,5,FALSE))*V101),0)</f>
        <v>0</v>
      </c>
      <c r="X101" s="139">
        <f>((IF($D42&gt;0,IF($G42="Måneder",VLOOKUP($D42,Oppslag!$H:$O,5,FALSE())/12,VLOOKUP($D42,Oppslag!$H:$O,5,FALSE)),0))*AB42)*(VLOOKUP(AB$10,Oppslag!$AP:$AQ,2,FALSE))</f>
        <v>0</v>
      </c>
      <c r="Y101" s="139">
        <f>IFERROR((IF($C101=1,VLOOKUP($D42,Oppslag!$AB:$AF,3,FALSE),VLOOKUP($D42,Oppslag!$AB:$AF,5,FALSE))*X101),0)</f>
        <v>0</v>
      </c>
      <c r="Z101" s="264">
        <f>((IF($D42&gt;0,IF($G42="Måneder",VLOOKUP($D42,Oppslag!$H:$O,5,FALSE())/12,VLOOKUP($D42,Oppslag!$H:$O,5,FALSE)),0))*AD42)*(VLOOKUP(AD$10,Oppslag!$AP:$AQ,2,FALSE))</f>
        <v>0</v>
      </c>
      <c r="AA101" s="264">
        <f>IFERROR((IF($C101=1,VLOOKUP($D42,Oppslag!$AB:$AF,3,FALSE),VLOOKUP($D42,Oppslag!$AB:$AF,5,FALSE))*Z101),0)</f>
        <v>0</v>
      </c>
      <c r="AB101" s="261">
        <f t="shared" si="28"/>
        <v>0</v>
      </c>
    </row>
    <row r="102" spans="1:28" hidden="1" outlineLevel="1" x14ac:dyDescent="0.25">
      <c r="A102" s="177">
        <f t="shared" si="26"/>
        <v>0</v>
      </c>
      <c r="B102" s="177">
        <f t="shared" si="27"/>
        <v>0</v>
      </c>
      <c r="C102">
        <f>IFERROR(VLOOKUP(C43,Oppslag!B:D,3,FALSE),0)</f>
        <v>0</v>
      </c>
      <c r="D102" s="142">
        <f>((IF($D43&gt;0,IF($G43="Måneder",VLOOKUP($D43,Oppslag!$H:$O,5,FALSE())/12,VLOOKUP($D43,Oppslag!$H:$O,5,FALSE)),0))*H43)*(VLOOKUP(H$10,Oppslag!$AP:$AQ,2,FALSE))</f>
        <v>0</v>
      </c>
      <c r="E102" s="139">
        <f>IFERROR((IF($C102=1,VLOOKUP($D43,Oppslag!$AB:$AF,3,FALSE),VLOOKUP($D43,Oppslag!$AB:$AF,5,FALSE))*D102),0)</f>
        <v>0</v>
      </c>
      <c r="F102" s="264">
        <f>((IF($D43&gt;0,IF($G43="Måneder",VLOOKUP($D43,Oppslag!$H:$O,5,FALSE())/12,VLOOKUP($D43,Oppslag!$H:$O,5,FALSE)),0))*J43)*(VLOOKUP(J$10,Oppslag!$AP:$AQ,2,FALSE))</f>
        <v>0</v>
      </c>
      <c r="G102" s="264">
        <f>IFERROR((IF($C102=1,VLOOKUP($D43,Oppslag!$AB:$AF,3,FALSE),VLOOKUP($D43,Oppslag!$AB:$AF,5,FALSE))*F102),0)</f>
        <v>0</v>
      </c>
      <c r="H102" s="139">
        <f>((IF($D43&gt;0,IF($G43="Måneder",VLOOKUP($D43,Oppslag!$H:$O,5,FALSE())/12,VLOOKUP($D43,Oppslag!$H:$O,5,FALSE)),0))*L43)*(VLOOKUP(L$10,Oppslag!$AP:$AQ,2,FALSE))</f>
        <v>0</v>
      </c>
      <c r="I102" s="139">
        <f>IFERROR((IF($C102=1,VLOOKUP($D43,Oppslag!$AB:$AF,3,FALSE),VLOOKUP($D43,Oppslag!$AB:$AF,5,FALSE))*H102),0)</f>
        <v>0</v>
      </c>
      <c r="J102" s="264">
        <f>((IF($D43&gt;0,IF($G43="Måneder",VLOOKUP($D43,Oppslag!$H:$O,5,FALSE())/12,VLOOKUP($D43,Oppslag!$H:$O,5,FALSE)),0))*N43)*(VLOOKUP(N$10,Oppslag!$AP:$AQ,2,FALSE))</f>
        <v>0</v>
      </c>
      <c r="K102" s="264">
        <f>IFERROR((IF($C102=1,VLOOKUP($D43,Oppslag!$AB:$AF,3,FALSE),VLOOKUP($D43,Oppslag!$AB:$AF,5,FALSE))*J102),0)</f>
        <v>0</v>
      </c>
      <c r="L102" s="139">
        <f>((IF($D43&gt;0,IF($G43="Måneder",VLOOKUP($D43,Oppslag!$H:$O,5,FALSE())/12,VLOOKUP($D43,Oppslag!$H:$O,5,FALSE)),0))*P43)*(VLOOKUP(P$10,Oppslag!$AP:$AQ,2,FALSE))</f>
        <v>0</v>
      </c>
      <c r="M102" s="139">
        <f>IFERROR((IF($C102=1,VLOOKUP($D43,Oppslag!$AB:$AF,3,FALSE),VLOOKUP($D43,Oppslag!$AB:$AF,5,FALSE))*L102),0)</f>
        <v>0</v>
      </c>
      <c r="N102" s="264">
        <f>((IF($D43&gt;0,IF($G43="Måneder",VLOOKUP($D43,Oppslag!$H:$O,5,FALSE())/12,VLOOKUP($D43,Oppslag!$H:$O,5,FALSE)),0))*R43)*(VLOOKUP(R$10,Oppslag!$AP:$AQ,2,FALSE))</f>
        <v>0</v>
      </c>
      <c r="O102" s="264">
        <f>IFERROR((IF($C102=1,VLOOKUP($D43,Oppslag!$AB:$AF,3,FALSE),VLOOKUP($D43,Oppslag!$AB:$AF,5,FALSE))*N102),0)</f>
        <v>0</v>
      </c>
      <c r="P102" s="139">
        <f>((IF($D43&gt;0,IF($G43="Måneder",VLOOKUP($D43,Oppslag!$H:$O,5,FALSE())/12,VLOOKUP($D43,Oppslag!$H:$O,5,FALSE)),0))*T43)*(VLOOKUP(T$10,Oppslag!$AP:$AQ,2,FALSE))</f>
        <v>0</v>
      </c>
      <c r="Q102" s="139">
        <f>IFERROR((IF($C102=1,VLOOKUP($D43,Oppslag!$AB:$AF,3,FALSE),VLOOKUP($D43,Oppslag!$AB:$AF,5,FALSE))*P102),0)</f>
        <v>0</v>
      </c>
      <c r="R102" s="264">
        <f>((IF($D43&gt;0,IF($G43="Måneder",VLOOKUP($D43,Oppslag!$H:$O,5,FALSE())/12,VLOOKUP($D43,Oppslag!$H:$O,5,FALSE)),0))*V43)*(VLOOKUP(V$10,Oppslag!$AP:$AQ,2,FALSE))</f>
        <v>0</v>
      </c>
      <c r="S102" s="264">
        <f>IFERROR((IF($C102=1,VLOOKUP($D43,Oppslag!$AB:$AF,3,FALSE),VLOOKUP($D43,Oppslag!$AB:$AF,5,FALSE))*R102),0)</f>
        <v>0</v>
      </c>
      <c r="T102" s="139">
        <f>((IF($D43&gt;0,IF($G43="Måneder",VLOOKUP($D43,Oppslag!$H:$O,5,FALSE())/12,VLOOKUP($D43,Oppslag!$H:$O,5,FALSE)),0))*X43)*(VLOOKUP(X$10,Oppslag!$AP:$AQ,2,FALSE))</f>
        <v>0</v>
      </c>
      <c r="U102" s="139">
        <f>IFERROR((IF($C102=1,VLOOKUP($D43,Oppslag!$AB:$AF,3,FALSE),VLOOKUP($D43,Oppslag!$AB:$AF,5,FALSE))*T102),0)</f>
        <v>0</v>
      </c>
      <c r="V102" s="264">
        <f>((IF($D43&gt;0,IF($G43="Måneder",VLOOKUP($D43,Oppslag!$H:$O,5,FALSE())/12,VLOOKUP($D43,Oppslag!$H:$O,5,FALSE)),0))*Z43)*(VLOOKUP(Z$10,Oppslag!$AP:$AQ,2,FALSE))</f>
        <v>0</v>
      </c>
      <c r="W102" s="264">
        <f>IFERROR((IF($C102=1,VLOOKUP($D43,Oppslag!$AB:$AF,3,FALSE),VLOOKUP($D43,Oppslag!$AB:$AF,5,FALSE))*V102),0)</f>
        <v>0</v>
      </c>
      <c r="X102" s="139">
        <f>((IF($D43&gt;0,IF($G43="Måneder",VLOOKUP($D43,Oppslag!$H:$O,5,FALSE())/12,VLOOKUP($D43,Oppslag!$H:$O,5,FALSE)),0))*AB43)*(VLOOKUP(AB$10,Oppslag!$AP:$AQ,2,FALSE))</f>
        <v>0</v>
      </c>
      <c r="Y102" s="139">
        <f>IFERROR((IF($C102=1,VLOOKUP($D43,Oppslag!$AB:$AF,3,FALSE),VLOOKUP($D43,Oppslag!$AB:$AF,5,FALSE))*X102),0)</f>
        <v>0</v>
      </c>
      <c r="Z102" s="264">
        <f>((IF($D43&gt;0,IF($G43="Måneder",VLOOKUP($D43,Oppslag!$H:$O,5,FALSE())/12,VLOOKUP($D43,Oppslag!$H:$O,5,FALSE)),0))*AD43)*(VLOOKUP(AD$10,Oppslag!$AP:$AQ,2,FALSE))</f>
        <v>0</v>
      </c>
      <c r="AA102" s="264">
        <f>IFERROR((IF($C102=1,VLOOKUP($D43,Oppslag!$AB:$AF,3,FALSE),VLOOKUP($D43,Oppslag!$AB:$AF,5,FALSE))*Z102),0)</f>
        <v>0</v>
      </c>
      <c r="AB102" s="261">
        <f t="shared" si="28"/>
        <v>0</v>
      </c>
    </row>
    <row r="103" spans="1:28" hidden="1" outlineLevel="1" x14ac:dyDescent="0.25">
      <c r="A103" s="177">
        <f t="shared" si="26"/>
        <v>0</v>
      </c>
      <c r="B103" s="177">
        <f t="shared" si="27"/>
        <v>0</v>
      </c>
      <c r="C103">
        <f>IFERROR(VLOOKUP(C44,Oppslag!B:D,3,FALSE),0)</f>
        <v>0</v>
      </c>
      <c r="D103" s="142">
        <f>((IF($D44&gt;0,IF($G44="Måneder",VLOOKUP($D44,Oppslag!$H:$O,5,FALSE())/12,VLOOKUP($D44,Oppslag!$H:$O,5,FALSE)),0))*H44)*(VLOOKUP(H$10,Oppslag!$AP:$AQ,2,FALSE))</f>
        <v>0</v>
      </c>
      <c r="E103" s="139">
        <f>IFERROR((IF($C103=1,VLOOKUP($D44,Oppslag!$AB:$AF,3,FALSE),VLOOKUP($D44,Oppslag!$AB:$AF,5,FALSE))*D103),0)</f>
        <v>0</v>
      </c>
      <c r="F103" s="264">
        <f>((IF($D44&gt;0,IF($G44="Måneder",VLOOKUP($D44,Oppslag!$H:$O,5,FALSE())/12,VLOOKUP($D44,Oppslag!$H:$O,5,FALSE)),0))*J44)*(VLOOKUP(J$10,Oppslag!$AP:$AQ,2,FALSE))</f>
        <v>0</v>
      </c>
      <c r="G103" s="264">
        <f>IFERROR((IF($C103=1,VLOOKUP($D44,Oppslag!$AB:$AF,3,FALSE),VLOOKUP($D44,Oppslag!$AB:$AF,5,FALSE))*F103),0)</f>
        <v>0</v>
      </c>
      <c r="H103" s="139">
        <f>((IF($D44&gt;0,IF($G44="Måneder",VLOOKUP($D44,Oppslag!$H:$O,5,FALSE())/12,VLOOKUP($D44,Oppslag!$H:$O,5,FALSE)),0))*L44)*(VLOOKUP(L$10,Oppslag!$AP:$AQ,2,FALSE))</f>
        <v>0</v>
      </c>
      <c r="I103" s="139">
        <f>IFERROR((IF($C103=1,VLOOKUP($D44,Oppslag!$AB:$AF,3,FALSE),VLOOKUP($D44,Oppslag!$AB:$AF,5,FALSE))*H103),0)</f>
        <v>0</v>
      </c>
      <c r="J103" s="264">
        <f>((IF($D44&gt;0,IF($G44="Måneder",VLOOKUP($D44,Oppslag!$H:$O,5,FALSE())/12,VLOOKUP($D44,Oppslag!$H:$O,5,FALSE)),0))*N44)*(VLOOKUP(N$10,Oppslag!$AP:$AQ,2,FALSE))</f>
        <v>0</v>
      </c>
      <c r="K103" s="264">
        <f>IFERROR((IF($C103=1,VLOOKUP($D44,Oppslag!$AB:$AF,3,FALSE),VLOOKUP($D44,Oppslag!$AB:$AF,5,FALSE))*J103),0)</f>
        <v>0</v>
      </c>
      <c r="L103" s="139">
        <f>((IF($D44&gt;0,IF($G44="Måneder",VLOOKUP($D44,Oppslag!$H:$O,5,FALSE())/12,VLOOKUP($D44,Oppslag!$H:$O,5,FALSE)),0))*P44)*(VLOOKUP(P$10,Oppslag!$AP:$AQ,2,FALSE))</f>
        <v>0</v>
      </c>
      <c r="M103" s="139">
        <f>IFERROR((IF($C103=1,VLOOKUP($D44,Oppslag!$AB:$AF,3,FALSE),VLOOKUP($D44,Oppslag!$AB:$AF,5,FALSE))*L103),0)</f>
        <v>0</v>
      </c>
      <c r="N103" s="264">
        <f>((IF($D44&gt;0,IF($G44="Måneder",VLOOKUP($D44,Oppslag!$H:$O,5,FALSE())/12,VLOOKUP($D44,Oppslag!$H:$O,5,FALSE)),0))*R44)*(VLOOKUP(R$10,Oppslag!$AP:$AQ,2,FALSE))</f>
        <v>0</v>
      </c>
      <c r="O103" s="264">
        <f>IFERROR((IF($C103=1,VLOOKUP($D44,Oppslag!$AB:$AF,3,FALSE),VLOOKUP($D44,Oppslag!$AB:$AF,5,FALSE))*N103),0)</f>
        <v>0</v>
      </c>
      <c r="P103" s="139">
        <f>((IF($D44&gt;0,IF($G44="Måneder",VLOOKUP($D44,Oppslag!$H:$O,5,FALSE())/12,VLOOKUP($D44,Oppslag!$H:$O,5,FALSE)),0))*T44)*(VLOOKUP(T$10,Oppslag!$AP:$AQ,2,FALSE))</f>
        <v>0</v>
      </c>
      <c r="Q103" s="139">
        <f>IFERROR((IF($C103=1,VLOOKUP($D44,Oppslag!$AB:$AF,3,FALSE),VLOOKUP($D44,Oppslag!$AB:$AF,5,FALSE))*P103),0)</f>
        <v>0</v>
      </c>
      <c r="R103" s="264">
        <f>((IF($D44&gt;0,IF($G44="Måneder",VLOOKUP($D44,Oppslag!$H:$O,5,FALSE())/12,VLOOKUP($D44,Oppslag!$H:$O,5,FALSE)),0))*V44)*(VLOOKUP(V$10,Oppslag!$AP:$AQ,2,FALSE))</f>
        <v>0</v>
      </c>
      <c r="S103" s="264">
        <f>IFERROR((IF($C103=1,VLOOKUP($D44,Oppslag!$AB:$AF,3,FALSE),VLOOKUP($D44,Oppslag!$AB:$AF,5,FALSE))*R103),0)</f>
        <v>0</v>
      </c>
      <c r="T103" s="139">
        <f>((IF($D44&gt;0,IF($G44="Måneder",VLOOKUP($D44,Oppslag!$H:$O,5,FALSE())/12,VLOOKUP($D44,Oppslag!$H:$O,5,FALSE)),0))*X44)*(VLOOKUP(X$10,Oppslag!$AP:$AQ,2,FALSE))</f>
        <v>0</v>
      </c>
      <c r="U103" s="139">
        <f>IFERROR((IF($C103=1,VLOOKUP($D44,Oppslag!$AB:$AF,3,FALSE),VLOOKUP($D44,Oppslag!$AB:$AF,5,FALSE))*T103),0)</f>
        <v>0</v>
      </c>
      <c r="V103" s="264">
        <f>((IF($D44&gt;0,IF($G44="Måneder",VLOOKUP($D44,Oppslag!$H:$O,5,FALSE())/12,VLOOKUP($D44,Oppslag!$H:$O,5,FALSE)),0))*Z44)*(VLOOKUP(Z$10,Oppslag!$AP:$AQ,2,FALSE))</f>
        <v>0</v>
      </c>
      <c r="W103" s="264">
        <f>IFERROR((IF($C103=1,VLOOKUP($D44,Oppslag!$AB:$AF,3,FALSE),VLOOKUP($D44,Oppslag!$AB:$AF,5,FALSE))*V103),0)</f>
        <v>0</v>
      </c>
      <c r="X103" s="139">
        <f>((IF($D44&gt;0,IF($G44="Måneder",VLOOKUP($D44,Oppslag!$H:$O,5,FALSE())/12,VLOOKUP($D44,Oppslag!$H:$O,5,FALSE)),0))*AB44)*(VLOOKUP(AB$10,Oppslag!$AP:$AQ,2,FALSE))</f>
        <v>0</v>
      </c>
      <c r="Y103" s="139">
        <f>IFERROR((IF($C103=1,VLOOKUP($D44,Oppslag!$AB:$AF,3,FALSE),VLOOKUP($D44,Oppslag!$AB:$AF,5,FALSE))*X103),0)</f>
        <v>0</v>
      </c>
      <c r="Z103" s="264">
        <f>((IF($D44&gt;0,IF($G44="Måneder",VLOOKUP($D44,Oppslag!$H:$O,5,FALSE())/12,VLOOKUP($D44,Oppslag!$H:$O,5,FALSE)),0))*AD44)*(VLOOKUP(AD$10,Oppslag!$AP:$AQ,2,FALSE))</f>
        <v>0</v>
      </c>
      <c r="AA103" s="264">
        <f>IFERROR((IF($C103=1,VLOOKUP($D44,Oppslag!$AB:$AF,3,FALSE),VLOOKUP($D44,Oppslag!$AB:$AF,5,FALSE))*Z103),0)</f>
        <v>0</v>
      </c>
      <c r="AB103" s="261">
        <f t="shared" si="28"/>
        <v>0</v>
      </c>
    </row>
    <row r="104" spans="1:28" hidden="1" outlineLevel="1" x14ac:dyDescent="0.25">
      <c r="A104" s="177">
        <f t="shared" si="26"/>
        <v>0</v>
      </c>
      <c r="B104" s="177">
        <f t="shared" si="27"/>
        <v>0</v>
      </c>
      <c r="C104">
        <f>IFERROR(VLOOKUP(C45,Oppslag!B:D,3,FALSE),0)</f>
        <v>0</v>
      </c>
      <c r="D104" s="142">
        <f>((IF($D45&gt;0,IF($G45="Måneder",VLOOKUP($D45,Oppslag!$H:$O,5,FALSE())/12,VLOOKUP($D45,Oppslag!$H:$O,5,FALSE)),0))*H45)*(VLOOKUP(H$10,Oppslag!$AP:$AQ,2,FALSE))</f>
        <v>0</v>
      </c>
      <c r="E104" s="139">
        <f>IFERROR((IF($C104=1,VLOOKUP($D45,Oppslag!$AB:$AF,3,FALSE),VLOOKUP($D45,Oppslag!$AB:$AF,5,FALSE))*D104),0)</f>
        <v>0</v>
      </c>
      <c r="F104" s="264">
        <f>((IF($D45&gt;0,IF($G45="Måneder",VLOOKUP($D45,Oppslag!$H:$O,5,FALSE())/12,VLOOKUP($D45,Oppslag!$H:$O,5,FALSE)),0))*J45)*(VLOOKUP(J$10,Oppslag!$AP:$AQ,2,FALSE))</f>
        <v>0</v>
      </c>
      <c r="G104" s="264">
        <f>IFERROR((IF($C104=1,VLOOKUP($D45,Oppslag!$AB:$AF,3,FALSE),VLOOKUP($D45,Oppslag!$AB:$AF,5,FALSE))*F104),0)</f>
        <v>0</v>
      </c>
      <c r="H104" s="139">
        <f>((IF($D45&gt;0,IF($G45="Måneder",VLOOKUP($D45,Oppslag!$H:$O,5,FALSE())/12,VLOOKUP($D45,Oppslag!$H:$O,5,FALSE)),0))*L45)*(VLOOKUP(L$10,Oppslag!$AP:$AQ,2,FALSE))</f>
        <v>0</v>
      </c>
      <c r="I104" s="139">
        <f>IFERROR((IF($C104=1,VLOOKUP($D45,Oppslag!$AB:$AF,3,FALSE),VLOOKUP($D45,Oppslag!$AB:$AF,5,FALSE))*H104),0)</f>
        <v>0</v>
      </c>
      <c r="J104" s="264">
        <f>((IF($D45&gt;0,IF($G45="Måneder",VLOOKUP($D45,Oppslag!$H:$O,5,FALSE())/12,VLOOKUP($D45,Oppslag!$H:$O,5,FALSE)),0))*N45)*(VLOOKUP(N$10,Oppslag!$AP:$AQ,2,FALSE))</f>
        <v>0</v>
      </c>
      <c r="K104" s="264">
        <f>IFERROR((IF($C104=1,VLOOKUP($D45,Oppslag!$AB:$AF,3,FALSE),VLOOKUP($D45,Oppslag!$AB:$AF,5,FALSE))*J104),0)</f>
        <v>0</v>
      </c>
      <c r="L104" s="139">
        <f>((IF($D45&gt;0,IF($G45="Måneder",VLOOKUP($D45,Oppslag!$H:$O,5,FALSE())/12,VLOOKUP($D45,Oppslag!$H:$O,5,FALSE)),0))*P45)*(VLOOKUP(P$10,Oppslag!$AP:$AQ,2,FALSE))</f>
        <v>0</v>
      </c>
      <c r="M104" s="139">
        <f>IFERROR((IF($C104=1,VLOOKUP($D45,Oppslag!$AB:$AF,3,FALSE),VLOOKUP($D45,Oppslag!$AB:$AF,5,FALSE))*L104),0)</f>
        <v>0</v>
      </c>
      <c r="N104" s="264">
        <f>((IF($D45&gt;0,IF($G45="Måneder",VLOOKUP($D45,Oppslag!$H:$O,5,FALSE())/12,VLOOKUP($D45,Oppslag!$H:$O,5,FALSE)),0))*R45)*(VLOOKUP(R$10,Oppslag!$AP:$AQ,2,FALSE))</f>
        <v>0</v>
      </c>
      <c r="O104" s="264">
        <f>IFERROR((IF($C104=1,VLOOKUP($D45,Oppslag!$AB:$AF,3,FALSE),VLOOKUP($D45,Oppslag!$AB:$AF,5,FALSE))*N104),0)</f>
        <v>0</v>
      </c>
      <c r="P104" s="139">
        <f>((IF($D45&gt;0,IF($G45="Måneder",VLOOKUP($D45,Oppslag!$H:$O,5,FALSE())/12,VLOOKUP($D45,Oppslag!$H:$O,5,FALSE)),0))*T45)*(VLOOKUP(T$10,Oppslag!$AP:$AQ,2,FALSE))</f>
        <v>0</v>
      </c>
      <c r="Q104" s="139">
        <f>IFERROR((IF($C104=1,VLOOKUP($D45,Oppslag!$AB:$AF,3,FALSE),VLOOKUP($D45,Oppslag!$AB:$AF,5,FALSE))*P104),0)</f>
        <v>0</v>
      </c>
      <c r="R104" s="264">
        <f>((IF($D45&gt;0,IF($G45="Måneder",VLOOKUP($D45,Oppslag!$H:$O,5,FALSE())/12,VLOOKUP($D45,Oppslag!$H:$O,5,FALSE)),0))*V45)*(VLOOKUP(V$10,Oppslag!$AP:$AQ,2,FALSE))</f>
        <v>0</v>
      </c>
      <c r="S104" s="264">
        <f>IFERROR((IF($C104=1,VLOOKUP($D45,Oppslag!$AB:$AF,3,FALSE),VLOOKUP($D45,Oppslag!$AB:$AF,5,FALSE))*R104),0)</f>
        <v>0</v>
      </c>
      <c r="T104" s="139">
        <f>((IF($D45&gt;0,IF($G45="Måneder",VLOOKUP($D45,Oppslag!$H:$O,5,FALSE())/12,VLOOKUP($D45,Oppslag!$H:$O,5,FALSE)),0))*X45)*(VLOOKUP(X$10,Oppslag!$AP:$AQ,2,FALSE))</f>
        <v>0</v>
      </c>
      <c r="U104" s="139">
        <f>IFERROR((IF($C104=1,VLOOKUP($D45,Oppslag!$AB:$AF,3,FALSE),VLOOKUP($D45,Oppslag!$AB:$AF,5,FALSE))*T104),0)</f>
        <v>0</v>
      </c>
      <c r="V104" s="264">
        <f>((IF($D45&gt;0,IF($G45="Måneder",VLOOKUP($D45,Oppslag!$H:$O,5,FALSE())/12,VLOOKUP($D45,Oppslag!$H:$O,5,FALSE)),0))*Z45)*(VLOOKUP(Z$10,Oppslag!$AP:$AQ,2,FALSE))</f>
        <v>0</v>
      </c>
      <c r="W104" s="264">
        <f>IFERROR((IF($C104=1,VLOOKUP($D45,Oppslag!$AB:$AF,3,FALSE),VLOOKUP($D45,Oppslag!$AB:$AF,5,FALSE))*V104),0)</f>
        <v>0</v>
      </c>
      <c r="X104" s="139">
        <f>((IF($D45&gt;0,IF($G45="Måneder",VLOOKUP($D45,Oppslag!$H:$O,5,FALSE())/12,VLOOKUP($D45,Oppslag!$H:$O,5,FALSE)),0))*AB45)*(VLOOKUP(AB$10,Oppslag!$AP:$AQ,2,FALSE))</f>
        <v>0</v>
      </c>
      <c r="Y104" s="139">
        <f>IFERROR((IF($C104=1,VLOOKUP($D45,Oppslag!$AB:$AF,3,FALSE),VLOOKUP($D45,Oppslag!$AB:$AF,5,FALSE))*X104),0)</f>
        <v>0</v>
      </c>
      <c r="Z104" s="264">
        <f>((IF($D45&gt;0,IF($G45="Måneder",VLOOKUP($D45,Oppslag!$H:$O,5,FALSE())/12,VLOOKUP($D45,Oppslag!$H:$O,5,FALSE)),0))*AD45)*(VLOOKUP(AD$10,Oppslag!$AP:$AQ,2,FALSE))</f>
        <v>0</v>
      </c>
      <c r="AA104" s="264">
        <f>IFERROR((IF($C104=1,VLOOKUP($D45,Oppslag!$AB:$AF,3,FALSE),VLOOKUP($D45,Oppslag!$AB:$AF,5,FALSE))*Z104),0)</f>
        <v>0</v>
      </c>
      <c r="AB104" s="261">
        <f t="shared" si="28"/>
        <v>0</v>
      </c>
    </row>
    <row r="105" spans="1:28" hidden="1" outlineLevel="1" x14ac:dyDescent="0.25">
      <c r="A105" s="177">
        <f t="shared" si="26"/>
        <v>0</v>
      </c>
      <c r="B105" s="177">
        <f t="shared" si="27"/>
        <v>0</v>
      </c>
      <c r="C105">
        <f>IFERROR(VLOOKUP(C46,Oppslag!B:D,3,FALSE),0)</f>
        <v>0</v>
      </c>
      <c r="D105" s="142">
        <f>((IF($D46&gt;0,IF($G46="Måneder",VLOOKUP($D46,Oppslag!$H:$O,5,FALSE())/12,VLOOKUP($D46,Oppslag!$H:$O,5,FALSE)),0))*H46)*(VLOOKUP(H$10,Oppslag!$AP:$AQ,2,FALSE))</f>
        <v>0</v>
      </c>
      <c r="E105" s="139">
        <f>IFERROR((IF($C105=1,VLOOKUP($D46,Oppslag!$AB:$AF,3,FALSE),VLOOKUP($D46,Oppslag!$AB:$AF,5,FALSE))*D105),0)</f>
        <v>0</v>
      </c>
      <c r="F105" s="264">
        <f>((IF($D46&gt;0,IF($G46="Måneder",VLOOKUP($D46,Oppslag!$H:$O,5,FALSE())/12,VLOOKUP($D46,Oppslag!$H:$O,5,FALSE)),0))*J46)*(VLOOKUP(J$10,Oppslag!$AP:$AQ,2,FALSE))</f>
        <v>0</v>
      </c>
      <c r="G105" s="264">
        <f>IFERROR((IF($C105=1,VLOOKUP($D46,Oppslag!$AB:$AF,3,FALSE),VLOOKUP($D46,Oppslag!$AB:$AF,5,FALSE))*F105),0)</f>
        <v>0</v>
      </c>
      <c r="H105" s="139">
        <f>((IF($D46&gt;0,IF($G46="Måneder",VLOOKUP($D46,Oppslag!$H:$O,5,FALSE())/12,VLOOKUP($D46,Oppslag!$H:$O,5,FALSE)),0))*L46)*(VLOOKUP(L$10,Oppslag!$AP:$AQ,2,FALSE))</f>
        <v>0</v>
      </c>
      <c r="I105" s="139">
        <f>IFERROR((IF($C105=1,VLOOKUP($D46,Oppslag!$AB:$AF,3,FALSE),VLOOKUP($D46,Oppslag!$AB:$AF,5,FALSE))*H105),0)</f>
        <v>0</v>
      </c>
      <c r="J105" s="264">
        <f>((IF($D46&gt;0,IF($G46="Måneder",VLOOKUP($D46,Oppslag!$H:$O,5,FALSE())/12,VLOOKUP($D46,Oppslag!$H:$O,5,FALSE)),0))*N46)*(VLOOKUP(N$10,Oppslag!$AP:$AQ,2,FALSE))</f>
        <v>0</v>
      </c>
      <c r="K105" s="264">
        <f>IFERROR((IF($C105=1,VLOOKUP($D46,Oppslag!$AB:$AF,3,FALSE),VLOOKUP($D46,Oppslag!$AB:$AF,5,FALSE))*J105),0)</f>
        <v>0</v>
      </c>
      <c r="L105" s="139">
        <f>((IF($D46&gt;0,IF($G46="Måneder",VLOOKUP($D46,Oppslag!$H:$O,5,FALSE())/12,VLOOKUP($D46,Oppslag!$H:$O,5,FALSE)),0))*P46)*(VLOOKUP(P$10,Oppslag!$AP:$AQ,2,FALSE))</f>
        <v>0</v>
      </c>
      <c r="M105" s="139">
        <f>IFERROR((IF($C105=1,VLOOKUP($D46,Oppslag!$AB:$AF,3,FALSE),VLOOKUP($D46,Oppslag!$AB:$AF,5,FALSE))*L105),0)</f>
        <v>0</v>
      </c>
      <c r="N105" s="264">
        <f>((IF($D46&gt;0,IF($G46="Måneder",VLOOKUP($D46,Oppslag!$H:$O,5,FALSE())/12,VLOOKUP($D46,Oppslag!$H:$O,5,FALSE)),0))*R46)*(VLOOKUP(R$10,Oppslag!$AP:$AQ,2,FALSE))</f>
        <v>0</v>
      </c>
      <c r="O105" s="264">
        <f>IFERROR((IF($C105=1,VLOOKUP($D46,Oppslag!$AB:$AF,3,FALSE),VLOOKUP($D46,Oppslag!$AB:$AF,5,FALSE))*N105),0)</f>
        <v>0</v>
      </c>
      <c r="P105" s="139">
        <f>((IF($D46&gt;0,IF($G46="Måneder",VLOOKUP($D46,Oppslag!$H:$O,5,FALSE())/12,VLOOKUP($D46,Oppslag!$H:$O,5,FALSE)),0))*T46)*(VLOOKUP(T$10,Oppslag!$AP:$AQ,2,FALSE))</f>
        <v>0</v>
      </c>
      <c r="Q105" s="139">
        <f>IFERROR((IF($C105=1,VLOOKUP($D46,Oppslag!$AB:$AF,3,FALSE),VLOOKUP($D46,Oppslag!$AB:$AF,5,FALSE))*P105),0)</f>
        <v>0</v>
      </c>
      <c r="R105" s="264">
        <f>((IF($D46&gt;0,IF($G46="Måneder",VLOOKUP($D46,Oppslag!$H:$O,5,FALSE())/12,VLOOKUP($D46,Oppslag!$H:$O,5,FALSE)),0))*V46)*(VLOOKUP(V$10,Oppslag!$AP:$AQ,2,FALSE))</f>
        <v>0</v>
      </c>
      <c r="S105" s="264">
        <f>IFERROR((IF($C105=1,VLOOKUP($D46,Oppslag!$AB:$AF,3,FALSE),VLOOKUP($D46,Oppslag!$AB:$AF,5,FALSE))*R105),0)</f>
        <v>0</v>
      </c>
      <c r="T105" s="139">
        <f>((IF($D46&gt;0,IF($G46="Måneder",VLOOKUP($D46,Oppslag!$H:$O,5,FALSE())/12,VLOOKUP($D46,Oppslag!$H:$O,5,FALSE)),0))*X46)*(VLOOKUP(X$10,Oppslag!$AP:$AQ,2,FALSE))</f>
        <v>0</v>
      </c>
      <c r="U105" s="139">
        <f>IFERROR((IF($C105=1,VLOOKUP($D46,Oppslag!$AB:$AF,3,FALSE),VLOOKUP($D46,Oppslag!$AB:$AF,5,FALSE))*T105),0)</f>
        <v>0</v>
      </c>
      <c r="V105" s="264">
        <f>((IF($D46&gt;0,IF($G46="Måneder",VLOOKUP($D46,Oppslag!$H:$O,5,FALSE())/12,VLOOKUP($D46,Oppslag!$H:$O,5,FALSE)),0))*Z46)*(VLOOKUP(Z$10,Oppslag!$AP:$AQ,2,FALSE))</f>
        <v>0</v>
      </c>
      <c r="W105" s="264">
        <f>IFERROR((IF($C105=1,VLOOKUP($D46,Oppslag!$AB:$AF,3,FALSE),VLOOKUP($D46,Oppslag!$AB:$AF,5,FALSE))*V105),0)</f>
        <v>0</v>
      </c>
      <c r="X105" s="139">
        <f>((IF($D46&gt;0,IF($G46="Måneder",VLOOKUP($D46,Oppslag!$H:$O,5,FALSE())/12,VLOOKUP($D46,Oppslag!$H:$O,5,FALSE)),0))*AB46)*(VLOOKUP(AB$10,Oppslag!$AP:$AQ,2,FALSE))</f>
        <v>0</v>
      </c>
      <c r="Y105" s="139">
        <f>IFERROR((IF($C105=1,VLOOKUP($D46,Oppslag!$AB:$AF,3,FALSE),VLOOKUP($D46,Oppslag!$AB:$AF,5,FALSE))*X105),0)</f>
        <v>0</v>
      </c>
      <c r="Z105" s="264">
        <f>((IF($D46&gt;0,IF($G46="Måneder",VLOOKUP($D46,Oppslag!$H:$O,5,FALSE())/12,VLOOKUP($D46,Oppslag!$H:$O,5,FALSE)),0))*AD46)*(VLOOKUP(AD$10,Oppslag!$AP:$AQ,2,FALSE))</f>
        <v>0</v>
      </c>
      <c r="AA105" s="264">
        <f>IFERROR((IF($C105=1,VLOOKUP($D46,Oppslag!$AB:$AF,3,FALSE),VLOOKUP($D46,Oppslag!$AB:$AF,5,FALSE))*Z105),0)</f>
        <v>0</v>
      </c>
      <c r="AB105" s="261">
        <f t="shared" si="28"/>
        <v>0</v>
      </c>
    </row>
    <row r="106" spans="1:28" hidden="1" outlineLevel="1" x14ac:dyDescent="0.25">
      <c r="A106" s="177">
        <f t="shared" si="26"/>
        <v>0</v>
      </c>
      <c r="B106" s="177">
        <f t="shared" si="27"/>
        <v>0</v>
      </c>
      <c r="C106">
        <f>IFERROR(VLOOKUP(C47,Oppslag!B:D,3,FALSE),0)</f>
        <v>0</v>
      </c>
      <c r="D106" s="142">
        <f>((IF($D47&gt;0,IF($G47="Måneder",VLOOKUP($D47,Oppslag!$H:$O,5,FALSE())/12,VLOOKUP($D47,Oppslag!$H:$O,5,FALSE)),0))*H47)*(VLOOKUP(H$10,Oppslag!$AP:$AQ,2,FALSE))</f>
        <v>0</v>
      </c>
      <c r="E106" s="139">
        <f>IFERROR((IF($C106=1,VLOOKUP($D47,Oppslag!$AB:$AF,3,FALSE),VLOOKUP($D47,Oppslag!$AB:$AF,5,FALSE))*D106),0)</f>
        <v>0</v>
      </c>
      <c r="F106" s="264">
        <f>((IF($D47&gt;0,IF($G47="Måneder",VLOOKUP($D47,Oppslag!$H:$O,5,FALSE())/12,VLOOKUP($D47,Oppslag!$H:$O,5,FALSE)),0))*J47)*(VLOOKUP(J$10,Oppslag!$AP:$AQ,2,FALSE))</f>
        <v>0</v>
      </c>
      <c r="G106" s="264">
        <f>IFERROR((IF($C106=1,VLOOKUP($D47,Oppslag!$AB:$AF,3,FALSE),VLOOKUP($D47,Oppslag!$AB:$AF,5,FALSE))*F106),0)</f>
        <v>0</v>
      </c>
      <c r="H106" s="139">
        <f>((IF($D47&gt;0,IF($G47="Måneder",VLOOKUP($D47,Oppslag!$H:$O,5,FALSE())/12,VLOOKUP($D47,Oppslag!$H:$O,5,FALSE)),0))*L47)*(VLOOKUP(L$10,Oppslag!$AP:$AQ,2,FALSE))</f>
        <v>0</v>
      </c>
      <c r="I106" s="139">
        <f>IFERROR((IF($C106=1,VLOOKUP($D47,Oppslag!$AB:$AF,3,FALSE),VLOOKUP($D47,Oppslag!$AB:$AF,5,FALSE))*H106),0)</f>
        <v>0</v>
      </c>
      <c r="J106" s="264">
        <f>((IF($D47&gt;0,IF($G47="Måneder",VLOOKUP($D47,Oppslag!$H:$O,5,FALSE())/12,VLOOKUP($D47,Oppslag!$H:$O,5,FALSE)),0))*N47)*(VLOOKUP(N$10,Oppslag!$AP:$AQ,2,FALSE))</f>
        <v>0</v>
      </c>
      <c r="K106" s="264">
        <f>IFERROR((IF($C106=1,VLOOKUP($D47,Oppslag!$AB:$AF,3,FALSE),VLOOKUP($D47,Oppslag!$AB:$AF,5,FALSE))*J106),0)</f>
        <v>0</v>
      </c>
      <c r="L106" s="139">
        <f>((IF($D47&gt;0,IF($G47="Måneder",VLOOKUP($D47,Oppslag!$H:$O,5,FALSE())/12,VLOOKUP($D47,Oppslag!$H:$O,5,FALSE)),0))*P47)*(VLOOKUP(P$10,Oppslag!$AP:$AQ,2,FALSE))</f>
        <v>0</v>
      </c>
      <c r="M106" s="139">
        <f>IFERROR((IF($C106=1,VLOOKUP($D47,Oppslag!$AB:$AF,3,FALSE),VLOOKUP($D47,Oppslag!$AB:$AF,5,FALSE))*L106),0)</f>
        <v>0</v>
      </c>
      <c r="N106" s="264">
        <f>((IF($D47&gt;0,IF($G47="Måneder",VLOOKUP($D47,Oppslag!$H:$O,5,FALSE())/12,VLOOKUP($D47,Oppslag!$H:$O,5,FALSE)),0))*R47)*(VLOOKUP(R$10,Oppslag!$AP:$AQ,2,FALSE))</f>
        <v>0</v>
      </c>
      <c r="O106" s="264">
        <f>IFERROR((IF($C106=1,VLOOKUP($D47,Oppslag!$AB:$AF,3,FALSE),VLOOKUP($D47,Oppslag!$AB:$AF,5,FALSE))*N106),0)</f>
        <v>0</v>
      </c>
      <c r="P106" s="139">
        <f>((IF($D47&gt;0,IF($G47="Måneder",VLOOKUP($D47,Oppslag!$H:$O,5,FALSE())/12,VLOOKUP($D47,Oppslag!$H:$O,5,FALSE)),0))*T47)*(VLOOKUP(T$10,Oppslag!$AP:$AQ,2,FALSE))</f>
        <v>0</v>
      </c>
      <c r="Q106" s="139">
        <f>IFERROR((IF($C106=1,VLOOKUP($D47,Oppslag!$AB:$AF,3,FALSE),VLOOKUP($D47,Oppslag!$AB:$AF,5,FALSE))*P106),0)</f>
        <v>0</v>
      </c>
      <c r="R106" s="264">
        <f>((IF($D47&gt;0,IF($G47="Måneder",VLOOKUP($D47,Oppslag!$H:$O,5,FALSE())/12,VLOOKUP($D47,Oppslag!$H:$O,5,FALSE)),0))*V47)*(VLOOKUP(V$10,Oppslag!$AP:$AQ,2,FALSE))</f>
        <v>0</v>
      </c>
      <c r="S106" s="264">
        <f>IFERROR((IF($C106=1,VLOOKUP($D47,Oppslag!$AB:$AF,3,FALSE),VLOOKUP($D47,Oppslag!$AB:$AF,5,FALSE))*R106),0)</f>
        <v>0</v>
      </c>
      <c r="T106" s="139">
        <f>((IF($D47&gt;0,IF($G47="Måneder",VLOOKUP($D47,Oppslag!$H:$O,5,FALSE())/12,VLOOKUP($D47,Oppslag!$H:$O,5,FALSE)),0))*X47)*(VLOOKUP(X$10,Oppslag!$AP:$AQ,2,FALSE))</f>
        <v>0</v>
      </c>
      <c r="U106" s="139">
        <f>IFERROR((IF($C106=1,VLOOKUP($D47,Oppslag!$AB:$AF,3,FALSE),VLOOKUP($D47,Oppslag!$AB:$AF,5,FALSE))*T106),0)</f>
        <v>0</v>
      </c>
      <c r="V106" s="264">
        <f>((IF($D47&gt;0,IF($G47="Måneder",VLOOKUP($D47,Oppslag!$H:$O,5,FALSE())/12,VLOOKUP($D47,Oppslag!$H:$O,5,FALSE)),0))*Z47)*(VLOOKUP(Z$10,Oppslag!$AP:$AQ,2,FALSE))</f>
        <v>0</v>
      </c>
      <c r="W106" s="264">
        <f>IFERROR((IF($C106=1,VLOOKUP($D47,Oppslag!$AB:$AF,3,FALSE),VLOOKUP($D47,Oppslag!$AB:$AF,5,FALSE))*V106),0)</f>
        <v>0</v>
      </c>
      <c r="X106" s="139">
        <f>((IF($D47&gt;0,IF($G47="Måneder",VLOOKUP($D47,Oppslag!$H:$O,5,FALSE())/12,VLOOKUP($D47,Oppslag!$H:$O,5,FALSE)),0))*AB47)*(VLOOKUP(AB$10,Oppslag!$AP:$AQ,2,FALSE))</f>
        <v>0</v>
      </c>
      <c r="Y106" s="139">
        <f>IFERROR((IF($C106=1,VLOOKUP($D47,Oppslag!$AB:$AF,3,FALSE),VLOOKUP($D47,Oppslag!$AB:$AF,5,FALSE))*X106),0)</f>
        <v>0</v>
      </c>
      <c r="Z106" s="264">
        <f>((IF($D47&gt;0,IF($G47="Måneder",VLOOKUP($D47,Oppslag!$H:$O,5,FALSE())/12,VLOOKUP($D47,Oppslag!$H:$O,5,FALSE)),0))*AD47)*(VLOOKUP(AD$10,Oppslag!$AP:$AQ,2,FALSE))</f>
        <v>0</v>
      </c>
      <c r="AA106" s="264">
        <f>IFERROR((IF($C106=1,VLOOKUP($D47,Oppslag!$AB:$AF,3,FALSE),VLOOKUP($D47,Oppslag!$AB:$AF,5,FALSE))*Z106),0)</f>
        <v>0</v>
      </c>
      <c r="AB106" s="261">
        <f t="shared" si="28"/>
        <v>0</v>
      </c>
    </row>
    <row r="107" spans="1:28" hidden="1" outlineLevel="1" x14ac:dyDescent="0.25">
      <c r="A107" s="177">
        <f t="shared" ref="A107:A110" si="29">E48</f>
        <v>0</v>
      </c>
      <c r="B107" s="177">
        <f t="shared" ref="B107:B110" si="30">B48</f>
        <v>0</v>
      </c>
      <c r="C107">
        <f>IFERROR(VLOOKUP(C48,Oppslag!B:D,3,FALSE),0)</f>
        <v>0</v>
      </c>
      <c r="D107" s="142">
        <f>((IF($D48&gt;0,IF($G48="Måneder",VLOOKUP($D48,Oppslag!$H:$O,5,FALSE())/12,VLOOKUP($D48,Oppslag!$H:$O,5,FALSE)),0))*H48)*(VLOOKUP(H$10,Oppslag!$AP:$AQ,2,FALSE))</f>
        <v>0</v>
      </c>
      <c r="E107" s="139">
        <f>IFERROR((IF($C107=1,VLOOKUP($D48,Oppslag!$AB:$AF,3,FALSE),VLOOKUP($D48,Oppslag!$AB:$AF,5,FALSE))*D107),0)</f>
        <v>0</v>
      </c>
      <c r="F107" s="264">
        <f>((IF($D48&gt;0,IF($G48="Måneder",VLOOKUP($D48,Oppslag!$H:$O,5,FALSE())/12,VLOOKUP($D48,Oppslag!$H:$O,5,FALSE)),0))*J48)*(VLOOKUP(J$10,Oppslag!$AP:$AQ,2,FALSE))</f>
        <v>0</v>
      </c>
      <c r="G107" s="264">
        <f>IFERROR((IF($C107=1,VLOOKUP($D48,Oppslag!$AB:$AF,3,FALSE),VLOOKUP($D48,Oppslag!$AB:$AF,5,FALSE))*F107),0)</f>
        <v>0</v>
      </c>
      <c r="H107" s="139">
        <f>((IF($D48&gt;0,IF($G48="Måneder",VLOOKUP($D48,Oppslag!$H:$O,5,FALSE())/12,VLOOKUP($D48,Oppslag!$H:$O,5,FALSE)),0))*L48)*(VLOOKUP(L$10,Oppslag!$AP:$AQ,2,FALSE))</f>
        <v>0</v>
      </c>
      <c r="I107" s="139">
        <f>IFERROR((IF($C107=1,VLOOKUP($D48,Oppslag!$AB:$AF,3,FALSE),VLOOKUP($D48,Oppslag!$AB:$AF,5,FALSE))*H107),0)</f>
        <v>0</v>
      </c>
      <c r="J107" s="264">
        <f>((IF($D48&gt;0,IF($G48="Måneder",VLOOKUP($D48,Oppslag!$H:$O,5,FALSE())/12,VLOOKUP($D48,Oppslag!$H:$O,5,FALSE)),0))*N48)*(VLOOKUP(N$10,Oppslag!$AP:$AQ,2,FALSE))</f>
        <v>0</v>
      </c>
      <c r="K107" s="264">
        <f>IFERROR((IF($C107=1,VLOOKUP($D48,Oppslag!$AB:$AF,3,FALSE),VLOOKUP($D48,Oppslag!$AB:$AF,5,FALSE))*J107),0)</f>
        <v>0</v>
      </c>
      <c r="L107" s="139">
        <f>((IF($D48&gt;0,IF($G48="Måneder",VLOOKUP($D48,Oppslag!$H:$O,5,FALSE())/12,VLOOKUP($D48,Oppslag!$H:$O,5,FALSE)),0))*P48)*(VLOOKUP(P$10,Oppslag!$AP:$AQ,2,FALSE))</f>
        <v>0</v>
      </c>
      <c r="M107" s="139">
        <f>IFERROR((IF($C107=1,VLOOKUP($D48,Oppslag!$AB:$AF,3,FALSE),VLOOKUP($D48,Oppslag!$AB:$AF,5,FALSE))*L107),0)</f>
        <v>0</v>
      </c>
      <c r="N107" s="264">
        <f>((IF($D48&gt;0,IF($G48="Måneder",VLOOKUP($D48,Oppslag!$H:$O,5,FALSE())/12,VLOOKUP($D48,Oppslag!$H:$O,5,FALSE)),0))*R48)*(VLOOKUP(R$10,Oppslag!$AP:$AQ,2,FALSE))</f>
        <v>0</v>
      </c>
      <c r="O107" s="264">
        <f>IFERROR((IF($C107=1,VLOOKUP($D48,Oppslag!$AB:$AF,3,FALSE),VLOOKUP($D48,Oppslag!$AB:$AF,5,FALSE))*N107),0)</f>
        <v>0</v>
      </c>
      <c r="P107" s="139">
        <f>((IF($D48&gt;0,IF($G48="Måneder",VLOOKUP($D48,Oppslag!$H:$O,5,FALSE())/12,VLOOKUP($D48,Oppslag!$H:$O,5,FALSE)),0))*T48)*(VLOOKUP(T$10,Oppslag!$AP:$AQ,2,FALSE))</f>
        <v>0</v>
      </c>
      <c r="Q107" s="139">
        <f>IFERROR((IF($C107=1,VLOOKUP($D48,Oppslag!$AB:$AF,3,FALSE),VLOOKUP($D48,Oppslag!$AB:$AF,5,FALSE))*P107),0)</f>
        <v>0</v>
      </c>
      <c r="R107" s="264">
        <f>((IF($D48&gt;0,IF($G48="Måneder",VLOOKUP($D48,Oppslag!$H:$O,5,FALSE())/12,VLOOKUP($D48,Oppslag!$H:$O,5,FALSE)),0))*V48)*(VLOOKUP(V$10,Oppslag!$AP:$AQ,2,FALSE))</f>
        <v>0</v>
      </c>
      <c r="S107" s="264">
        <f>IFERROR((IF($C107=1,VLOOKUP($D48,Oppslag!$AB:$AF,3,FALSE),VLOOKUP($D48,Oppslag!$AB:$AF,5,FALSE))*R107),0)</f>
        <v>0</v>
      </c>
      <c r="T107" s="139">
        <f>((IF($D48&gt;0,IF($G48="Måneder",VLOOKUP($D48,Oppslag!$H:$O,5,FALSE())/12,VLOOKUP($D48,Oppslag!$H:$O,5,FALSE)),0))*X48)*(VLOOKUP(X$10,Oppslag!$AP:$AQ,2,FALSE))</f>
        <v>0</v>
      </c>
      <c r="U107" s="139">
        <f>IFERROR((IF($C107=1,VLOOKUP($D48,Oppslag!$AB:$AF,3,FALSE),VLOOKUP($D48,Oppslag!$AB:$AF,5,FALSE))*T107),0)</f>
        <v>0</v>
      </c>
      <c r="V107" s="264">
        <f>((IF($D48&gt;0,IF($G48="Måneder",VLOOKUP($D48,Oppslag!$H:$O,5,FALSE())/12,VLOOKUP($D48,Oppslag!$H:$O,5,FALSE)),0))*Z48)*(VLOOKUP(Z$10,Oppslag!$AP:$AQ,2,FALSE))</f>
        <v>0</v>
      </c>
      <c r="W107" s="264">
        <f>IFERROR((IF($C107=1,VLOOKUP($D48,Oppslag!$AB:$AF,3,FALSE),VLOOKUP($D48,Oppslag!$AB:$AF,5,FALSE))*V107),0)</f>
        <v>0</v>
      </c>
      <c r="X107" s="139">
        <f>((IF($D48&gt;0,IF($G48="Måneder",VLOOKUP($D48,Oppslag!$H:$O,5,FALSE())/12,VLOOKUP($D48,Oppslag!$H:$O,5,FALSE)),0))*AB48)*(VLOOKUP(AB$10,Oppslag!$AP:$AQ,2,FALSE))</f>
        <v>0</v>
      </c>
      <c r="Y107" s="139">
        <f>IFERROR((IF($C107=1,VLOOKUP($D48,Oppslag!$AB:$AF,3,FALSE),VLOOKUP($D48,Oppslag!$AB:$AF,5,FALSE))*X107),0)</f>
        <v>0</v>
      </c>
      <c r="Z107" s="264">
        <f>((IF($D48&gt;0,IF($G48="Måneder",VLOOKUP($D48,Oppslag!$H:$O,5,FALSE())/12,VLOOKUP($D48,Oppslag!$H:$O,5,FALSE)),0))*AD48)*(VLOOKUP(AD$10,Oppslag!$AP:$AQ,2,FALSE))</f>
        <v>0</v>
      </c>
      <c r="AA107" s="264">
        <f>IFERROR((IF($C107=1,VLOOKUP($D48,Oppslag!$AB:$AF,3,FALSE),VLOOKUP($D48,Oppslag!$AB:$AF,5,FALSE))*Z107),0)</f>
        <v>0</v>
      </c>
      <c r="AB107" s="261">
        <f t="shared" si="28"/>
        <v>0</v>
      </c>
    </row>
    <row r="108" spans="1:28" hidden="1" outlineLevel="1" x14ac:dyDescent="0.25">
      <c r="A108" s="177">
        <f t="shared" si="29"/>
        <v>0</v>
      </c>
      <c r="B108" s="177">
        <f t="shared" si="30"/>
        <v>0</v>
      </c>
      <c r="C108">
        <f>IFERROR(VLOOKUP(C49,Oppslag!B:D,3,FALSE),0)</f>
        <v>0</v>
      </c>
      <c r="D108" s="142">
        <f>((IF($D49&gt;0,IF($G49="Måneder",VLOOKUP($D49,Oppslag!$H:$O,5,FALSE())/12,VLOOKUP($D49,Oppslag!$H:$O,5,FALSE)),0))*H49)*(VLOOKUP(H$10,Oppslag!$AP:$AQ,2,FALSE))</f>
        <v>0</v>
      </c>
      <c r="E108" s="139">
        <f>IFERROR((IF($C108=1,VLOOKUP($D49,Oppslag!$AB:$AF,3,FALSE),VLOOKUP($D49,Oppslag!$AB:$AF,5,FALSE))*D108),0)</f>
        <v>0</v>
      </c>
      <c r="F108" s="264">
        <f>((IF($D49&gt;0,IF($G49="Måneder",VLOOKUP($D49,Oppslag!$H:$O,5,FALSE())/12,VLOOKUP($D49,Oppslag!$H:$O,5,FALSE)),0))*J49)*(VLOOKUP(J$10,Oppslag!$AP:$AQ,2,FALSE))</f>
        <v>0</v>
      </c>
      <c r="G108" s="264">
        <f>IFERROR((IF($C108=1,VLOOKUP($D49,Oppslag!$AB:$AF,3,FALSE),VLOOKUP($D49,Oppslag!$AB:$AF,5,FALSE))*F108),0)</f>
        <v>0</v>
      </c>
      <c r="H108" s="139">
        <f>((IF($D49&gt;0,IF($G49="Måneder",VLOOKUP($D49,Oppslag!$H:$O,5,FALSE())/12,VLOOKUP($D49,Oppslag!$H:$O,5,FALSE)),0))*L49)*(VLOOKUP(L$10,Oppslag!$AP:$AQ,2,FALSE))</f>
        <v>0</v>
      </c>
      <c r="I108" s="139">
        <f>IFERROR((IF($C108=1,VLOOKUP($D49,Oppslag!$AB:$AF,3,FALSE),VLOOKUP($D49,Oppslag!$AB:$AF,5,FALSE))*H108),0)</f>
        <v>0</v>
      </c>
      <c r="J108" s="264">
        <f>((IF($D49&gt;0,IF($G49="Måneder",VLOOKUP($D49,Oppslag!$H:$O,5,FALSE())/12,VLOOKUP($D49,Oppslag!$H:$O,5,FALSE)),0))*N49)*(VLOOKUP(N$10,Oppslag!$AP:$AQ,2,FALSE))</f>
        <v>0</v>
      </c>
      <c r="K108" s="264">
        <f>IFERROR((IF($C108=1,VLOOKUP($D49,Oppslag!$AB:$AF,3,FALSE),VLOOKUP($D49,Oppslag!$AB:$AF,5,FALSE))*J108),0)</f>
        <v>0</v>
      </c>
      <c r="L108" s="139">
        <f>((IF($D49&gt;0,IF($G49="Måneder",VLOOKUP($D49,Oppslag!$H:$O,5,FALSE())/12,VLOOKUP($D49,Oppslag!$H:$O,5,FALSE)),0))*P49)*(VLOOKUP(P$10,Oppslag!$AP:$AQ,2,FALSE))</f>
        <v>0</v>
      </c>
      <c r="M108" s="139">
        <f>IFERROR((IF($C108=1,VLOOKUP($D49,Oppslag!$AB:$AF,3,FALSE),VLOOKUP($D49,Oppslag!$AB:$AF,5,FALSE))*L108),0)</f>
        <v>0</v>
      </c>
      <c r="N108" s="264">
        <f>((IF($D49&gt;0,IF($G49="Måneder",VLOOKUP($D49,Oppslag!$H:$O,5,FALSE())/12,VLOOKUP($D49,Oppslag!$H:$O,5,FALSE)),0))*R49)*(VLOOKUP(R$10,Oppslag!$AP:$AQ,2,FALSE))</f>
        <v>0</v>
      </c>
      <c r="O108" s="264">
        <f>IFERROR((IF($C108=1,VLOOKUP($D49,Oppslag!$AB:$AF,3,FALSE),VLOOKUP($D49,Oppslag!$AB:$AF,5,FALSE))*N108),0)</f>
        <v>0</v>
      </c>
      <c r="P108" s="139">
        <f>((IF($D49&gt;0,IF($G49="Måneder",VLOOKUP($D49,Oppslag!$H:$O,5,FALSE())/12,VLOOKUP($D49,Oppslag!$H:$O,5,FALSE)),0))*T49)*(VLOOKUP(T$10,Oppslag!$AP:$AQ,2,FALSE))</f>
        <v>0</v>
      </c>
      <c r="Q108" s="139">
        <f>IFERROR((IF($C108=1,VLOOKUP($D49,Oppslag!$AB:$AF,3,FALSE),VLOOKUP($D49,Oppslag!$AB:$AF,5,FALSE))*P108),0)</f>
        <v>0</v>
      </c>
      <c r="R108" s="264">
        <f>((IF($D49&gt;0,IF($G49="Måneder",VLOOKUP($D49,Oppslag!$H:$O,5,FALSE())/12,VLOOKUP($D49,Oppslag!$H:$O,5,FALSE)),0))*V49)*(VLOOKUP(V$10,Oppslag!$AP:$AQ,2,FALSE))</f>
        <v>0</v>
      </c>
      <c r="S108" s="264">
        <f>IFERROR((IF($C108=1,VLOOKUP($D49,Oppslag!$AB:$AF,3,FALSE),VLOOKUP($D49,Oppslag!$AB:$AF,5,FALSE))*R108),0)</f>
        <v>0</v>
      </c>
      <c r="T108" s="139">
        <f>((IF($D49&gt;0,IF($G49="Måneder",VLOOKUP($D49,Oppslag!$H:$O,5,FALSE())/12,VLOOKUP($D49,Oppslag!$H:$O,5,FALSE)),0))*X49)*(VLOOKUP(X$10,Oppslag!$AP:$AQ,2,FALSE))</f>
        <v>0</v>
      </c>
      <c r="U108" s="139">
        <f>IFERROR((IF($C108=1,VLOOKUP($D49,Oppslag!$AB:$AF,3,FALSE),VLOOKUP($D49,Oppslag!$AB:$AF,5,FALSE))*T108),0)</f>
        <v>0</v>
      </c>
      <c r="V108" s="264">
        <f>((IF($D49&gt;0,IF($G49="Måneder",VLOOKUP($D49,Oppslag!$H:$O,5,FALSE())/12,VLOOKUP($D49,Oppslag!$H:$O,5,FALSE)),0))*Z49)*(VLOOKUP(Z$10,Oppslag!$AP:$AQ,2,FALSE))</f>
        <v>0</v>
      </c>
      <c r="W108" s="264">
        <f>IFERROR((IF($C108=1,VLOOKUP($D49,Oppslag!$AB:$AF,3,FALSE),VLOOKUP($D49,Oppslag!$AB:$AF,5,FALSE))*V108),0)</f>
        <v>0</v>
      </c>
      <c r="X108" s="139">
        <f>((IF($D49&gt;0,IF($G49="Måneder",VLOOKUP($D49,Oppslag!$H:$O,5,FALSE())/12,VLOOKUP($D49,Oppslag!$H:$O,5,FALSE)),0))*AB49)*(VLOOKUP(AB$10,Oppslag!$AP:$AQ,2,FALSE))</f>
        <v>0</v>
      </c>
      <c r="Y108" s="139">
        <f>IFERROR((IF($C108=1,VLOOKUP($D49,Oppslag!$AB:$AF,3,FALSE),VLOOKUP($D49,Oppslag!$AB:$AF,5,FALSE))*X108),0)</f>
        <v>0</v>
      </c>
      <c r="Z108" s="264">
        <f>((IF($D49&gt;0,IF($G49="Måneder",VLOOKUP($D49,Oppslag!$H:$O,5,FALSE())/12,VLOOKUP($D49,Oppslag!$H:$O,5,FALSE)),0))*AD49)*(VLOOKUP(AD$10,Oppslag!$AP:$AQ,2,FALSE))</f>
        <v>0</v>
      </c>
      <c r="AA108" s="264">
        <f>IFERROR((IF($C108=1,VLOOKUP($D49,Oppslag!$AB:$AF,3,FALSE),VLOOKUP($D49,Oppslag!$AB:$AF,5,FALSE))*Z108),0)</f>
        <v>0</v>
      </c>
      <c r="AB108" s="261">
        <f t="shared" si="28"/>
        <v>0</v>
      </c>
    </row>
    <row r="109" spans="1:28" hidden="1" outlineLevel="1" x14ac:dyDescent="0.25">
      <c r="A109" s="177">
        <f t="shared" si="29"/>
        <v>0</v>
      </c>
      <c r="B109" s="177">
        <f t="shared" si="30"/>
        <v>0</v>
      </c>
      <c r="C109">
        <f>IFERROR(VLOOKUP(C50,Oppslag!B:D,3,FALSE),0)</f>
        <v>0</v>
      </c>
      <c r="D109" s="142">
        <f>((IF($D50&gt;0,IF($G50="Måneder",VLOOKUP($D50,Oppslag!$H:$O,5,FALSE())/12,VLOOKUP($D50,Oppslag!$H:$O,5,FALSE)),0))*H50)*(VLOOKUP(H$10,Oppslag!$AP:$AQ,2,FALSE))</f>
        <v>0</v>
      </c>
      <c r="E109" s="139">
        <f>IFERROR((IF($C109=1,VLOOKUP($D50,Oppslag!$AB:$AF,3,FALSE),VLOOKUP($D50,Oppslag!$AB:$AF,5,FALSE))*D109),0)</f>
        <v>0</v>
      </c>
      <c r="F109" s="264">
        <f>((IF($D50&gt;0,IF($G50="Måneder",VLOOKUP($D50,Oppslag!$H:$O,5,FALSE())/12,VLOOKUP($D50,Oppslag!$H:$O,5,FALSE)),0))*J50)*(VLOOKUP(J$10,Oppslag!$AP:$AQ,2,FALSE))</f>
        <v>0</v>
      </c>
      <c r="G109" s="264">
        <f>IFERROR((IF($C109=1,VLOOKUP($D50,Oppslag!$AB:$AF,3,FALSE),VLOOKUP($D50,Oppslag!$AB:$AF,5,FALSE))*F109),0)</f>
        <v>0</v>
      </c>
      <c r="H109" s="139">
        <f>((IF($D50&gt;0,IF($G50="Måneder",VLOOKUP($D50,Oppslag!$H:$O,5,FALSE())/12,VLOOKUP($D50,Oppslag!$H:$O,5,FALSE)),0))*L50)*(VLOOKUP(L$10,Oppslag!$AP:$AQ,2,FALSE))</f>
        <v>0</v>
      </c>
      <c r="I109" s="139">
        <f>IFERROR((IF($C109=1,VLOOKUP($D50,Oppslag!$AB:$AF,3,FALSE),VLOOKUP($D50,Oppslag!$AB:$AF,5,FALSE))*H109),0)</f>
        <v>0</v>
      </c>
      <c r="J109" s="264">
        <f>((IF($D50&gt;0,IF($G50="Måneder",VLOOKUP($D50,Oppslag!$H:$O,5,FALSE())/12,VLOOKUP($D50,Oppslag!$H:$O,5,FALSE)),0))*N50)*(VLOOKUP(N$10,Oppslag!$AP:$AQ,2,FALSE))</f>
        <v>0</v>
      </c>
      <c r="K109" s="264">
        <f>IFERROR((IF($C109=1,VLOOKUP($D50,Oppslag!$AB:$AF,3,FALSE),VLOOKUP($D50,Oppslag!$AB:$AF,5,FALSE))*J109),0)</f>
        <v>0</v>
      </c>
      <c r="L109" s="139">
        <f>((IF($D50&gt;0,IF($G50="Måneder",VLOOKUP($D50,Oppslag!$H:$O,5,FALSE())/12,VLOOKUP($D50,Oppslag!$H:$O,5,FALSE)),0))*P50)*(VLOOKUP(P$10,Oppslag!$AP:$AQ,2,FALSE))</f>
        <v>0</v>
      </c>
      <c r="M109" s="139">
        <f>IFERROR((IF($C109=1,VLOOKUP($D50,Oppslag!$AB:$AF,3,FALSE),VLOOKUP($D50,Oppslag!$AB:$AF,5,FALSE))*L109),0)</f>
        <v>0</v>
      </c>
      <c r="N109" s="264">
        <f>((IF($D50&gt;0,IF($G50="Måneder",VLOOKUP($D50,Oppslag!$H:$O,5,FALSE())/12,VLOOKUP($D50,Oppslag!$H:$O,5,FALSE)),0))*R50)*(VLOOKUP(R$10,Oppslag!$AP:$AQ,2,FALSE))</f>
        <v>0</v>
      </c>
      <c r="O109" s="264">
        <f>IFERROR((IF($C109=1,VLOOKUP($D50,Oppslag!$AB:$AF,3,FALSE),VLOOKUP($D50,Oppslag!$AB:$AF,5,FALSE))*N109),0)</f>
        <v>0</v>
      </c>
      <c r="P109" s="139">
        <f>((IF($D50&gt;0,IF($G50="Måneder",VLOOKUP($D50,Oppslag!$H:$O,5,FALSE())/12,VLOOKUP($D50,Oppslag!$H:$O,5,FALSE)),0))*T50)*(VLOOKUP(T$10,Oppslag!$AP:$AQ,2,FALSE))</f>
        <v>0</v>
      </c>
      <c r="Q109" s="139">
        <f>IFERROR((IF($C109=1,VLOOKUP($D50,Oppslag!$AB:$AF,3,FALSE),VLOOKUP($D50,Oppslag!$AB:$AF,5,FALSE))*P109),0)</f>
        <v>0</v>
      </c>
      <c r="R109" s="264">
        <f>((IF($D50&gt;0,IF($G50="Måneder",VLOOKUP($D50,Oppslag!$H:$O,5,FALSE())/12,VLOOKUP($D50,Oppslag!$H:$O,5,FALSE)),0))*V50)*(VLOOKUP(V$10,Oppslag!$AP:$AQ,2,FALSE))</f>
        <v>0</v>
      </c>
      <c r="S109" s="264">
        <f>IFERROR((IF($C109=1,VLOOKUP($D50,Oppslag!$AB:$AF,3,FALSE),VLOOKUP($D50,Oppslag!$AB:$AF,5,FALSE))*R109),0)</f>
        <v>0</v>
      </c>
      <c r="T109" s="139">
        <f>((IF($D50&gt;0,IF($G50="Måneder",VLOOKUP($D50,Oppslag!$H:$O,5,FALSE())/12,VLOOKUP($D50,Oppslag!$H:$O,5,FALSE)),0))*X50)*(VLOOKUP(X$10,Oppslag!$AP:$AQ,2,FALSE))</f>
        <v>0</v>
      </c>
      <c r="U109" s="139">
        <f>IFERROR((IF($C109=1,VLOOKUP($D50,Oppslag!$AB:$AF,3,FALSE),VLOOKUP($D50,Oppslag!$AB:$AF,5,FALSE))*T109),0)</f>
        <v>0</v>
      </c>
      <c r="V109" s="264">
        <f>((IF($D50&gt;0,IF($G50="Måneder",VLOOKUP($D50,Oppslag!$H:$O,5,FALSE())/12,VLOOKUP($D50,Oppslag!$H:$O,5,FALSE)),0))*Z50)*(VLOOKUP(Z$10,Oppslag!$AP:$AQ,2,FALSE))</f>
        <v>0</v>
      </c>
      <c r="W109" s="264">
        <f>IFERROR((IF($C109=1,VLOOKUP($D50,Oppslag!$AB:$AF,3,FALSE),VLOOKUP($D50,Oppslag!$AB:$AF,5,FALSE))*V109),0)</f>
        <v>0</v>
      </c>
      <c r="X109" s="139">
        <f>((IF($D50&gt;0,IF($G50="Måneder",VLOOKUP($D50,Oppslag!$H:$O,5,FALSE())/12,VLOOKUP($D50,Oppslag!$H:$O,5,FALSE)),0))*AB50)*(VLOOKUP(AB$10,Oppslag!$AP:$AQ,2,FALSE))</f>
        <v>0</v>
      </c>
      <c r="Y109" s="139">
        <f>IFERROR((IF($C109=1,VLOOKUP($D50,Oppslag!$AB:$AF,3,FALSE),VLOOKUP($D50,Oppslag!$AB:$AF,5,FALSE))*X109),0)</f>
        <v>0</v>
      </c>
      <c r="Z109" s="264">
        <f>((IF($D50&gt;0,IF($G50="Måneder",VLOOKUP($D50,Oppslag!$H:$O,5,FALSE())/12,VLOOKUP($D50,Oppslag!$H:$O,5,FALSE)),0))*AD50)*(VLOOKUP(AD$10,Oppslag!$AP:$AQ,2,FALSE))</f>
        <v>0</v>
      </c>
      <c r="AA109" s="264">
        <f>IFERROR((IF($C109=1,VLOOKUP($D50,Oppslag!$AB:$AF,3,FALSE),VLOOKUP($D50,Oppslag!$AB:$AF,5,FALSE))*Z109),0)</f>
        <v>0</v>
      </c>
      <c r="AB109" s="261">
        <f t="shared" si="28"/>
        <v>0</v>
      </c>
    </row>
    <row r="110" spans="1:28" hidden="1" outlineLevel="1" x14ac:dyDescent="0.25">
      <c r="A110" s="177">
        <f t="shared" si="29"/>
        <v>0</v>
      </c>
      <c r="B110" s="177">
        <f t="shared" si="30"/>
        <v>0</v>
      </c>
      <c r="C110">
        <f>IFERROR(VLOOKUP(C51,Oppslag!B:D,3,FALSE),0)</f>
        <v>0</v>
      </c>
      <c r="D110" s="142">
        <f>((IF($D51&gt;0,IF($G51="Måneder",VLOOKUP($D51,Oppslag!$H:$O,5,FALSE())/12,VLOOKUP($D51,Oppslag!$H:$O,5,FALSE)),0))*H51)*(VLOOKUP(H$10,Oppslag!$AP:$AQ,2,FALSE))</f>
        <v>0</v>
      </c>
      <c r="E110" s="139">
        <f>IFERROR((IF($C110=1,VLOOKUP($D51,Oppslag!$AB:$AF,3,FALSE),VLOOKUP($D51,Oppslag!$AB:$AF,5,FALSE))*D110),0)</f>
        <v>0</v>
      </c>
      <c r="F110" s="264">
        <f>((IF($D51&gt;0,IF($G51="Måneder",VLOOKUP($D51,Oppslag!$H:$O,5,FALSE())/12,VLOOKUP($D51,Oppslag!$H:$O,5,FALSE)),0))*J51)*(VLOOKUP(J$10,Oppslag!$AP:$AQ,2,FALSE))</f>
        <v>0</v>
      </c>
      <c r="G110" s="264">
        <f>IFERROR((IF($C110=1,VLOOKUP($D51,Oppslag!$AB:$AF,3,FALSE),VLOOKUP($D51,Oppslag!$AB:$AF,5,FALSE))*F110),0)</f>
        <v>0</v>
      </c>
      <c r="H110" s="139">
        <f>((IF($D51&gt;0,IF($G51="Måneder",VLOOKUP($D51,Oppslag!$H:$O,5,FALSE())/12,VLOOKUP($D51,Oppslag!$H:$O,5,FALSE)),0))*L51)*(VLOOKUP(L$10,Oppslag!$AP:$AQ,2,FALSE))</f>
        <v>0</v>
      </c>
      <c r="I110" s="139">
        <f>IFERROR((IF($C110=1,VLOOKUP($D51,Oppslag!$AB:$AF,3,FALSE),VLOOKUP($D51,Oppslag!$AB:$AF,5,FALSE))*H110),0)</f>
        <v>0</v>
      </c>
      <c r="J110" s="264">
        <f>((IF($D51&gt;0,IF($G51="Måneder",VLOOKUP($D51,Oppslag!$H:$O,5,FALSE())/12,VLOOKUP($D51,Oppslag!$H:$O,5,FALSE)),0))*N51)*(VLOOKUP(N$10,Oppslag!$AP:$AQ,2,FALSE))</f>
        <v>0</v>
      </c>
      <c r="K110" s="264">
        <f>IFERROR((IF($C110=1,VLOOKUP($D51,Oppslag!$AB:$AF,3,FALSE),VLOOKUP($D51,Oppslag!$AB:$AF,5,FALSE))*J110),0)</f>
        <v>0</v>
      </c>
      <c r="L110" s="139">
        <f>((IF($D51&gt;0,IF($G51="Måneder",VLOOKUP($D51,Oppslag!$H:$O,5,FALSE())/12,VLOOKUP($D51,Oppslag!$H:$O,5,FALSE)),0))*P51)*(VLOOKUP(P$10,Oppslag!$AP:$AQ,2,FALSE))</f>
        <v>0</v>
      </c>
      <c r="M110" s="139">
        <f>IFERROR((IF($C110=1,VLOOKUP($D51,Oppslag!$AB:$AF,3,FALSE),VLOOKUP($D51,Oppslag!$AB:$AF,5,FALSE))*L110),0)</f>
        <v>0</v>
      </c>
      <c r="N110" s="264">
        <f>((IF($D51&gt;0,IF($G51="Måneder",VLOOKUP($D51,Oppslag!$H:$O,5,FALSE())/12,VLOOKUP($D51,Oppslag!$H:$O,5,FALSE)),0))*R51)*(VLOOKUP(R$10,Oppslag!$AP:$AQ,2,FALSE))</f>
        <v>0</v>
      </c>
      <c r="O110" s="264">
        <f>IFERROR((IF($C110=1,VLOOKUP($D51,Oppslag!$AB:$AF,3,FALSE),VLOOKUP($D51,Oppslag!$AB:$AF,5,FALSE))*N110),0)</f>
        <v>0</v>
      </c>
      <c r="P110" s="139">
        <f>((IF($D51&gt;0,IF($G51="Måneder",VLOOKUP($D51,Oppslag!$H:$O,5,FALSE())/12,VLOOKUP($D51,Oppslag!$H:$O,5,FALSE)),0))*T51)*(VLOOKUP(T$10,Oppslag!$AP:$AQ,2,FALSE))</f>
        <v>0</v>
      </c>
      <c r="Q110" s="139">
        <f>IFERROR((IF($C110=1,VLOOKUP($D51,Oppslag!$AB:$AF,3,FALSE),VLOOKUP($D51,Oppslag!$AB:$AF,5,FALSE))*P110),0)</f>
        <v>0</v>
      </c>
      <c r="R110" s="264">
        <f>((IF($D51&gt;0,IF($G51="Måneder",VLOOKUP($D51,Oppslag!$H:$O,5,FALSE())/12,VLOOKUP($D51,Oppslag!$H:$O,5,FALSE)),0))*V51)*(VLOOKUP(V$10,Oppslag!$AP:$AQ,2,FALSE))</f>
        <v>0</v>
      </c>
      <c r="S110" s="264">
        <f>IFERROR((IF($C110=1,VLOOKUP($D51,Oppslag!$AB:$AF,3,FALSE),VLOOKUP($D51,Oppslag!$AB:$AF,5,FALSE))*R110),0)</f>
        <v>0</v>
      </c>
      <c r="T110" s="139">
        <f>((IF($D51&gt;0,IF($G51="Måneder",VLOOKUP($D51,Oppslag!$H:$O,5,FALSE())/12,VLOOKUP($D51,Oppslag!$H:$O,5,FALSE)),0))*X51)*(VLOOKUP(X$10,Oppslag!$AP:$AQ,2,FALSE))</f>
        <v>0</v>
      </c>
      <c r="U110" s="139">
        <f>IFERROR((IF($C110=1,VLOOKUP($D51,Oppslag!$AB:$AF,3,FALSE),VLOOKUP($D51,Oppslag!$AB:$AF,5,FALSE))*T110),0)</f>
        <v>0</v>
      </c>
      <c r="V110" s="264">
        <f>((IF($D51&gt;0,IF($G51="Måneder",VLOOKUP($D51,Oppslag!$H:$O,5,FALSE())/12,VLOOKUP($D51,Oppslag!$H:$O,5,FALSE)),0))*Z51)*(VLOOKUP(Z$10,Oppslag!$AP:$AQ,2,FALSE))</f>
        <v>0</v>
      </c>
      <c r="W110" s="264">
        <f>IFERROR((IF($C110=1,VLOOKUP($D51,Oppslag!$AB:$AF,3,FALSE),VLOOKUP($D51,Oppslag!$AB:$AF,5,FALSE))*V110),0)</f>
        <v>0</v>
      </c>
      <c r="X110" s="139">
        <f>((IF($D51&gt;0,IF($G51="Måneder",VLOOKUP($D51,Oppslag!$H:$O,5,FALSE())/12,VLOOKUP($D51,Oppslag!$H:$O,5,FALSE)),0))*AB51)*(VLOOKUP(AB$10,Oppslag!$AP:$AQ,2,FALSE))</f>
        <v>0</v>
      </c>
      <c r="Y110" s="139">
        <f>IFERROR((IF($C110=1,VLOOKUP($D51,Oppslag!$AB:$AF,3,FALSE),VLOOKUP($D51,Oppslag!$AB:$AF,5,FALSE))*X110),0)</f>
        <v>0</v>
      </c>
      <c r="Z110" s="264">
        <f>((IF($D51&gt;0,IF($G51="Måneder",VLOOKUP($D51,Oppslag!$H:$O,5,FALSE())/12,VLOOKUP($D51,Oppslag!$H:$O,5,FALSE)),0))*AD51)*(VLOOKUP(AD$10,Oppslag!$AP:$AQ,2,FALSE))</f>
        <v>0</v>
      </c>
      <c r="AA110" s="264">
        <f>IFERROR((IF($C110=1,VLOOKUP($D51,Oppslag!$AB:$AF,3,FALSE),VLOOKUP($D51,Oppslag!$AB:$AF,5,FALSE))*Z110),0)</f>
        <v>0</v>
      </c>
      <c r="AB110" s="261">
        <f t="shared" si="28"/>
        <v>0</v>
      </c>
    </row>
    <row r="111" spans="1:28" hidden="1" outlineLevel="1" x14ac:dyDescent="0.25"/>
    <row r="112" spans="1:28" hidden="1" outlineLevel="1" x14ac:dyDescent="0.25"/>
    <row r="113" hidden="1" outlineLevel="1" x14ac:dyDescent="0.25"/>
    <row r="114" hidden="1" outlineLevel="1" x14ac:dyDescent="0.25"/>
    <row r="115" hidden="1" outlineLevel="1" x14ac:dyDescent="0.25"/>
    <row r="116" hidden="1" outlineLevel="1" x14ac:dyDescent="0.25"/>
    <row r="117" collapsed="1" x14ac:dyDescent="0.25"/>
  </sheetData>
  <mergeCells count="26">
    <mergeCell ref="A54:P54"/>
    <mergeCell ref="AF10:AG10"/>
    <mergeCell ref="N10:O10"/>
    <mergeCell ref="L10:M10"/>
    <mergeCell ref="J10:K10"/>
    <mergeCell ref="H10:I10"/>
    <mergeCell ref="R10:S10"/>
    <mergeCell ref="P10:Q10"/>
    <mergeCell ref="Z10:AA10"/>
    <mergeCell ref="X10:Y10"/>
    <mergeCell ref="V10:W10"/>
    <mergeCell ref="T10:U10"/>
    <mergeCell ref="AB10:AC10"/>
    <mergeCell ref="AD10:AE10"/>
    <mergeCell ref="D69:E69"/>
    <mergeCell ref="F69:G69"/>
    <mergeCell ref="H69:I69"/>
    <mergeCell ref="J69:K69"/>
    <mergeCell ref="L69:M69"/>
    <mergeCell ref="X69:Y69"/>
    <mergeCell ref="Z69:AA69"/>
    <mergeCell ref="N69:O69"/>
    <mergeCell ref="P69:Q69"/>
    <mergeCell ref="R69:S69"/>
    <mergeCell ref="T69:U69"/>
    <mergeCell ref="V69:W69"/>
  </mergeCells>
  <dataValidations count="3">
    <dataValidation type="list" allowBlank="1" showInputMessage="1" showErrorMessage="1" sqref="C12:C51">
      <formula1>Stilling</formula1>
    </dataValidation>
    <dataValidation type="list" allowBlank="1" showInputMessage="1" showErrorMessage="1" sqref="G12:G51">
      <formula1>Budsjettenhet</formula1>
    </dataValidation>
    <dataValidation type="list" allowBlank="1" showInputMessage="1" showErrorMessage="1" sqref="E12:F51">
      <formula1>Fast_ansatt?</formula1>
    </dataValidation>
  </dataValidations>
  <pageMargins left="0.7" right="0.7" top="0.75" bottom="0.75" header="0.3" footer="0.3"/>
  <pageSetup paperSize="9" orientation="portrait" r:id="rId1"/>
  <ignoredErrors>
    <ignoredError sqref="D12:D19" unlockedFormula="1"/>
  </ignoredErrors>
  <legacyDrawing r:id="rId2"/>
  <extLst>
    <ext xmlns:x14="http://schemas.microsoft.com/office/spreadsheetml/2009/9/main" uri="{CCE6A557-97BC-4b89-ADB6-D9C93CAAB3DF}">
      <x14:dataValidations xmlns:xm="http://schemas.microsoft.com/office/excel/2006/main" count="2">
        <x14:dataValidation type="whole" operator="lessThanOrEqual" allowBlank="1" showInputMessage="1" showErrorMessage="1" error="Nummeret må være &lt;= antall hovedaktiviteter angitt på 1. Prosjektinfo">
          <x14:formula1>
            <xm:f>'1. Prosjektinfo'!$B$9</xm:f>
          </x14:formula1>
          <xm:sqref>B13:B51</xm:sqref>
        </x14:dataValidation>
        <x14:dataValidation type="whole" operator="lessThanOrEqual" allowBlank="1" showInputMessage="1" showErrorMessage="1" error="Nummeret må være &lt;= antall hovedaktiviteter registrert på 1.Prosjektinfo">
          <x14:formula1>
            <xm:f>'1. Prosjektinfo'!$B$9</xm:f>
          </x14:formula1>
          <xm:sqref>B12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9"/>
  <sheetViews>
    <sheetView workbookViewId="0">
      <selection activeCell="AJ55" sqref="AJ55"/>
    </sheetView>
  </sheetViews>
  <sheetFormatPr baseColWidth="10" defaultColWidth="11.42578125" defaultRowHeight="15" outlineLevelRow="1" outlineLevelCol="1" x14ac:dyDescent="0.25"/>
  <cols>
    <col min="1" max="1" width="14" customWidth="1"/>
    <col min="2" max="2" width="8.7109375" customWidth="1"/>
    <col min="3" max="3" width="21.28515625" customWidth="1"/>
    <col min="4" max="5" width="11.42578125" customWidth="1"/>
    <col min="6" max="6" width="18.42578125" bestFit="1" customWidth="1"/>
    <col min="7" max="7" width="10" customWidth="1"/>
    <col min="8" max="8" width="10.28515625" customWidth="1"/>
    <col min="9" max="9" width="11.42578125" customWidth="1"/>
    <col min="10" max="10" width="12.7109375" customWidth="1"/>
    <col min="11" max="11" width="9.42578125" customWidth="1"/>
    <col min="12" max="12" width="15.28515625" customWidth="1"/>
    <col min="13" max="13" width="10.42578125" customWidth="1"/>
    <col min="14" max="14" width="12.7109375" customWidth="1"/>
    <col min="15" max="15" width="11.28515625" customWidth="1"/>
    <col min="16" max="16" width="15.28515625" customWidth="1"/>
    <col min="17" max="17" width="10.28515625" customWidth="1"/>
    <col min="18" max="18" width="12.7109375" customWidth="1"/>
    <col min="19" max="19" width="10.7109375" customWidth="1"/>
    <col min="20" max="31" width="10.7109375" customWidth="1" outlineLevel="1"/>
    <col min="32" max="32" width="10.7109375" customWidth="1"/>
    <col min="33" max="33" width="11.42578125" customWidth="1"/>
    <col min="34" max="34" width="4" customWidth="1"/>
    <col min="35" max="35" width="15.28515625" customWidth="1"/>
    <col min="36" max="36" width="4.7109375" customWidth="1"/>
    <col min="37" max="37" width="11.42578125" customWidth="1"/>
    <col min="38" max="38" width="12.7109375" customWidth="1"/>
    <col min="39" max="40" width="15.28515625" customWidth="1"/>
    <col min="41" max="41" width="11.42578125" customWidth="1"/>
    <col min="42" max="42" width="12.7109375" customWidth="1"/>
    <col min="43" max="44" width="15.28515625" customWidth="1"/>
    <col min="45" max="45" width="11.42578125" customWidth="1"/>
    <col min="46" max="46" width="12.7109375" customWidth="1"/>
    <col min="47" max="48" width="15.28515625" customWidth="1"/>
    <col min="49" max="49" width="11.42578125" customWidth="1"/>
    <col min="50" max="50" width="12.7109375" customWidth="1"/>
    <col min="51" max="52" width="15.28515625" customWidth="1"/>
  </cols>
  <sheetData>
    <row r="1" spans="1:38" ht="23.25" x14ac:dyDescent="0.35">
      <c r="A1" s="101" t="s">
        <v>172</v>
      </c>
      <c r="B1" s="101"/>
      <c r="C1" s="102"/>
      <c r="D1" s="102"/>
      <c r="E1" s="102"/>
      <c r="F1" s="101" t="str">
        <f>'1. Prosjektinfo'!B4</f>
        <v>Navn på prosjekt</v>
      </c>
      <c r="G1" s="102"/>
      <c r="H1" s="57" t="s">
        <v>174</v>
      </c>
      <c r="I1" s="57"/>
    </row>
    <row r="2" spans="1:38" ht="21" x14ac:dyDescent="0.35">
      <c r="A2" s="103" t="s">
        <v>170</v>
      </c>
      <c r="B2" s="103"/>
      <c r="C2" s="103"/>
      <c r="D2" s="102"/>
      <c r="E2" s="102"/>
      <c r="F2" s="103" t="str">
        <f>'1. Prosjektinfo'!B5</f>
        <v>Anne Ås</v>
      </c>
      <c r="G2" s="102"/>
    </row>
    <row r="3" spans="1:38" ht="21" x14ac:dyDescent="0.35">
      <c r="A3" s="103" t="s">
        <v>118</v>
      </c>
      <c r="B3" s="103"/>
      <c r="C3" s="103"/>
      <c r="D3" s="102"/>
      <c r="E3" s="102"/>
      <c r="F3" s="104">
        <f>'1. Prosjektinfo'!B6</f>
        <v>43466</v>
      </c>
      <c r="G3" s="102"/>
    </row>
    <row r="4" spans="1:38" ht="21" x14ac:dyDescent="0.35">
      <c r="A4" s="103" t="s">
        <v>119</v>
      </c>
      <c r="B4" s="103"/>
      <c r="C4" s="103"/>
      <c r="D4" s="102"/>
      <c r="E4" s="102"/>
      <c r="F4" s="104">
        <f>'1. Prosjektinfo'!B7</f>
        <v>45291</v>
      </c>
      <c r="G4" s="102"/>
    </row>
    <row r="5" spans="1:38" ht="21" x14ac:dyDescent="0.35">
      <c r="A5" s="103" t="s">
        <v>166</v>
      </c>
      <c r="B5" s="103"/>
      <c r="C5" s="103"/>
      <c r="D5" s="102"/>
      <c r="E5" s="102"/>
      <c r="F5" s="103" t="str">
        <f>'1. Prosjektinfo'!B8</f>
        <v>Bidrag</v>
      </c>
      <c r="G5" s="102"/>
    </row>
    <row r="6" spans="1:38" ht="21" x14ac:dyDescent="0.35">
      <c r="A6" s="103" t="s">
        <v>480</v>
      </c>
      <c r="B6" s="103"/>
      <c r="C6" s="103"/>
      <c r="D6" s="102"/>
      <c r="E6" s="102"/>
      <c r="F6" s="280">
        <f>'1. Prosjektinfo'!B9</f>
        <v>2</v>
      </c>
      <c r="G6" s="102"/>
    </row>
    <row r="7" spans="1:38" ht="21" x14ac:dyDescent="0.35">
      <c r="A7" s="103" t="s">
        <v>167</v>
      </c>
      <c r="B7" s="103"/>
      <c r="C7" s="103"/>
      <c r="D7" s="102"/>
      <c r="E7" s="102"/>
      <c r="F7" s="103" t="str">
        <f>'1. Prosjektinfo'!B10</f>
        <v>Norges Forskningsråd</v>
      </c>
      <c r="G7" s="102"/>
    </row>
    <row r="8" spans="1:38" ht="14.25" customHeight="1" x14ac:dyDescent="0.25"/>
    <row r="9" spans="1:38" x14ac:dyDescent="0.25">
      <c r="H9" s="327">
        <f>YEAR('1. Prosjektinfo'!$B$6)</f>
        <v>2019</v>
      </c>
      <c r="I9" s="328"/>
      <c r="J9" s="327">
        <f>H9+1</f>
        <v>2020</v>
      </c>
      <c r="K9" s="328"/>
      <c r="L9" s="327">
        <f>J9+1</f>
        <v>2021</v>
      </c>
      <c r="M9" s="328"/>
      <c r="N9" s="327">
        <f>L9+1</f>
        <v>2022</v>
      </c>
      <c r="O9" s="328"/>
      <c r="P9" s="327">
        <f>N9+1</f>
        <v>2023</v>
      </c>
      <c r="Q9" s="328"/>
      <c r="R9" s="327">
        <f>P9+1</f>
        <v>2024</v>
      </c>
      <c r="S9" s="328"/>
      <c r="T9" s="327">
        <f>R9+1</f>
        <v>2025</v>
      </c>
      <c r="U9" s="328"/>
      <c r="V9" s="327">
        <f>T9+1</f>
        <v>2026</v>
      </c>
      <c r="W9" s="328"/>
      <c r="X9" s="327">
        <f>V9+1</f>
        <v>2027</v>
      </c>
      <c r="Y9" s="328"/>
      <c r="Z9" s="327">
        <f t="shared" ref="Z9" si="0">X9+1</f>
        <v>2028</v>
      </c>
      <c r="AA9" s="328"/>
      <c r="AB9" s="327">
        <f t="shared" ref="AB9" si="1">Z9+1</f>
        <v>2029</v>
      </c>
      <c r="AC9" s="328"/>
      <c r="AD9" s="327">
        <f t="shared" ref="AD9" si="2">AB9+1</f>
        <v>2030</v>
      </c>
      <c r="AE9" s="328"/>
      <c r="AF9" s="325" t="s">
        <v>79</v>
      </c>
      <c r="AG9" s="326"/>
    </row>
    <row r="10" spans="1:38" ht="63" customHeight="1" x14ac:dyDescent="0.25">
      <c r="A10" s="19" t="s">
        <v>93</v>
      </c>
      <c r="B10" s="19" t="s">
        <v>481</v>
      </c>
      <c r="C10" s="19" t="s">
        <v>94</v>
      </c>
      <c r="D10" s="19" t="s">
        <v>417</v>
      </c>
      <c r="E10" s="19" t="s">
        <v>130</v>
      </c>
      <c r="F10" s="30" t="s">
        <v>147</v>
      </c>
      <c r="G10" s="30" t="s">
        <v>148</v>
      </c>
      <c r="H10" s="19" t="s">
        <v>146</v>
      </c>
      <c r="I10" s="19" t="s">
        <v>91</v>
      </c>
      <c r="J10" s="19" t="s">
        <v>146</v>
      </c>
      <c r="K10" s="19" t="s">
        <v>91</v>
      </c>
      <c r="L10" s="19" t="s">
        <v>146</v>
      </c>
      <c r="M10" s="19" t="s">
        <v>91</v>
      </c>
      <c r="N10" s="19" t="s">
        <v>146</v>
      </c>
      <c r="O10" s="19" t="s">
        <v>91</v>
      </c>
      <c r="P10" s="19" t="s">
        <v>146</v>
      </c>
      <c r="Q10" s="19" t="s">
        <v>91</v>
      </c>
      <c r="R10" s="19" t="s">
        <v>146</v>
      </c>
      <c r="S10" s="19" t="s">
        <v>91</v>
      </c>
      <c r="T10" s="19" t="s">
        <v>146</v>
      </c>
      <c r="U10" s="19" t="s">
        <v>91</v>
      </c>
      <c r="V10" s="19" t="s">
        <v>146</v>
      </c>
      <c r="W10" s="19" t="s">
        <v>91</v>
      </c>
      <c r="X10" s="19" t="s">
        <v>146</v>
      </c>
      <c r="Y10" s="19" t="s">
        <v>91</v>
      </c>
      <c r="Z10" s="19" t="s">
        <v>146</v>
      </c>
      <c r="AA10" s="19" t="s">
        <v>91</v>
      </c>
      <c r="AB10" s="19" t="s">
        <v>146</v>
      </c>
      <c r="AC10" s="19" t="s">
        <v>91</v>
      </c>
      <c r="AD10" s="19" t="s">
        <v>146</v>
      </c>
      <c r="AE10" s="19" t="s">
        <v>91</v>
      </c>
      <c r="AF10" s="19" t="s">
        <v>146</v>
      </c>
      <c r="AG10" s="19" t="s">
        <v>91</v>
      </c>
      <c r="AI10" s="259" t="s">
        <v>453</v>
      </c>
      <c r="AJ10" s="259" t="s">
        <v>454</v>
      </c>
    </row>
    <row r="11" spans="1:38" x14ac:dyDescent="0.25">
      <c r="A11" s="20" t="s">
        <v>95</v>
      </c>
      <c r="B11" s="20">
        <v>1</v>
      </c>
      <c r="C11" s="20" t="s">
        <v>40</v>
      </c>
      <c r="D11" s="21" t="str">
        <f>IF(E11&gt;0,VLOOKUP(E11,Oppslag!$S$14:$W$27,5,FALSE),0)</f>
        <v>765'-1.014'</v>
      </c>
      <c r="E11" s="156" t="str">
        <f>IF(C11&gt;0,VLOOKUP(C11,Oppslag!B:F,5,FALSE),0)</f>
        <v>Forsker 2</v>
      </c>
      <c r="F11" s="157">
        <f>IF(E11&gt;0,VLOOKUP(E11,Oppslag!$S$14:$V$27,2,FALSE),0)</f>
        <v>697</v>
      </c>
      <c r="G11" s="157">
        <f>IF(E11&gt;0,VLOOKUP(E11,Oppslag!$S$14:$V$27,3,FALSE),0)</f>
        <v>277</v>
      </c>
      <c r="H11" s="23">
        <f>1628*10%</f>
        <v>162.80000000000001</v>
      </c>
      <c r="I11" s="158">
        <f>C67+D67</f>
        <v>158567.20000000001</v>
      </c>
      <c r="J11" s="23">
        <f>1628*10%</f>
        <v>162.80000000000001</v>
      </c>
      <c r="K11" s="158">
        <f>E67+F67</f>
        <v>163324.21600000001</v>
      </c>
      <c r="L11" s="23">
        <f>1628*10%</f>
        <v>162.80000000000001</v>
      </c>
      <c r="M11" s="158">
        <f>G67+H67</f>
        <v>168223.94248000003</v>
      </c>
      <c r="N11" s="23">
        <f>1628*10%</f>
        <v>162.80000000000001</v>
      </c>
      <c r="O11" s="158">
        <f>I67+J67</f>
        <v>173270.66075440001</v>
      </c>
      <c r="P11" s="23">
        <f>1628*10%</f>
        <v>162.80000000000001</v>
      </c>
      <c r="Q11" s="158">
        <f>K67+L67</f>
        <v>178468.78057703204</v>
      </c>
      <c r="R11" s="23"/>
      <c r="S11" s="158">
        <f>M67+N67</f>
        <v>0</v>
      </c>
      <c r="T11" s="23"/>
      <c r="U11" s="158">
        <f>O67+P67</f>
        <v>0</v>
      </c>
      <c r="V11" s="23"/>
      <c r="W11" s="158">
        <f>Q67+R67</f>
        <v>0</v>
      </c>
      <c r="X11" s="23"/>
      <c r="Y11" s="158">
        <f>S67+T67</f>
        <v>0</v>
      </c>
      <c r="Z11" s="23"/>
      <c r="AA11" s="158">
        <f>U67+V67</f>
        <v>0</v>
      </c>
      <c r="AB11" s="23"/>
      <c r="AC11" s="158">
        <f>W67+X67</f>
        <v>0</v>
      </c>
      <c r="AD11" s="23"/>
      <c r="AE11" s="158">
        <f>Y67+Z67</f>
        <v>0</v>
      </c>
      <c r="AF11" s="158">
        <f>AD11+AB11+Z11+X11+V11+T11+R11+P11+N11+L11+J11+H11</f>
        <v>814</v>
      </c>
      <c r="AG11" s="158">
        <f>I11+K11+M11+O11+Q11+S11+U11+W11+Y11+AA11+AC11+AE11</f>
        <v>841854.79981143202</v>
      </c>
      <c r="AI11" s="177">
        <f>F11+G11</f>
        <v>974</v>
      </c>
      <c r="AJ11">
        <f>IF(AI11&gt;0,IF($H$51&gt;0,AI11*(H11/$H$51),AI11*(J11/$J$51)),0)</f>
        <v>639.89991928974973</v>
      </c>
      <c r="AK11" t="b">
        <f>IF(B11='5. Oppsummering Budsjett'!$C$10,IF(AI11&gt;0,IF($H$52&gt;0,AI11*(H11/$H$52),AI11*(J11/$J$52)),0))</f>
        <v>0</v>
      </c>
      <c r="AL11" t="s">
        <v>544</v>
      </c>
    </row>
    <row r="12" spans="1:38" x14ac:dyDescent="0.25">
      <c r="A12" s="20" t="s">
        <v>95</v>
      </c>
      <c r="B12" s="20">
        <v>2</v>
      </c>
      <c r="C12" s="20" t="s">
        <v>40</v>
      </c>
      <c r="D12" s="21" t="str">
        <f>IF(E12&gt;0,VLOOKUP(E12,Oppslag!$S$14:$W$27,5,FALSE),0)</f>
        <v>765'-1.014'</v>
      </c>
      <c r="E12" s="156" t="str">
        <f>IF(C12&gt;0,VLOOKUP(C12,Oppslag!B:F,5,FALSE),0)</f>
        <v>Forsker 2</v>
      </c>
      <c r="F12" s="157">
        <f>IF(E12&gt;0,VLOOKUP(E12,Oppslag!$S$14:$V$27,2,FALSE),0)</f>
        <v>697</v>
      </c>
      <c r="G12" s="157">
        <f>IF(E12&gt;0,VLOOKUP(E12,Oppslag!$S$14:$V$27,3,FALSE),0)</f>
        <v>277</v>
      </c>
      <c r="H12" s="23">
        <f>85*'2. Budsjettering - Direkte lønn'!D63</f>
        <v>85</v>
      </c>
      <c r="I12" s="158">
        <f t="shared" ref="I12:I15" si="3">C68+D68</f>
        <v>82790</v>
      </c>
      <c r="J12" s="23">
        <f>85*'2. Budsjettering - Direkte lønn'!E63</f>
        <v>85</v>
      </c>
      <c r="K12" s="158">
        <f t="shared" ref="K12:K15" si="4">E68+F68</f>
        <v>85273.7</v>
      </c>
      <c r="L12" s="23">
        <f>85*'2. Budsjettering - Direkte lønn'!F63</f>
        <v>170</v>
      </c>
      <c r="M12" s="158">
        <f t="shared" ref="M12:M15" si="5">G68+H68</f>
        <v>175663.82199999999</v>
      </c>
      <c r="N12" s="23">
        <f>85*'2. Budsjettering - Direkte lønn'!G63</f>
        <v>85</v>
      </c>
      <c r="O12" s="158">
        <f t="shared" ref="O12:O15" si="6">I68+J68</f>
        <v>90466.868329999998</v>
      </c>
      <c r="P12" s="23">
        <f>85*'2. Budsjettering - Direkte lønn'!H63</f>
        <v>85</v>
      </c>
      <c r="Q12" s="158">
        <f t="shared" ref="Q12:Q15" si="7">K68+L68</f>
        <v>93180.874379900008</v>
      </c>
      <c r="R12" s="23"/>
      <c r="S12" s="158">
        <f t="shared" ref="S12:S15" si="8">M68+N68</f>
        <v>0</v>
      </c>
      <c r="T12" s="23"/>
      <c r="U12" s="158">
        <f t="shared" ref="U12:U15" si="9">O68+P68</f>
        <v>0</v>
      </c>
      <c r="V12" s="23"/>
      <c r="W12" s="158">
        <f t="shared" ref="W12:W15" si="10">Q68+R68</f>
        <v>0</v>
      </c>
      <c r="X12" s="23"/>
      <c r="Y12" s="158">
        <f t="shared" ref="Y12:Y15" si="11">S68+T68</f>
        <v>0</v>
      </c>
      <c r="Z12" s="23"/>
      <c r="AA12" s="158">
        <f t="shared" ref="AA12:AA15" si="12">U68+V68</f>
        <v>0</v>
      </c>
      <c r="AB12" s="23"/>
      <c r="AC12" s="158">
        <f t="shared" ref="AC12:AC15" si="13">W68+X68</f>
        <v>0</v>
      </c>
      <c r="AD12" s="23"/>
      <c r="AE12" s="158">
        <f t="shared" ref="AE12:AE15" si="14">Y68+Z68</f>
        <v>0</v>
      </c>
      <c r="AF12" s="158">
        <f t="shared" ref="AF12:AF50" si="15">AD12+AB12+Z12+X12+V12+T12+R12+P12+N12+L12+J12+H12</f>
        <v>510</v>
      </c>
      <c r="AG12" s="158">
        <f t="shared" ref="AG12:AG50" si="16">I12+K12+M12+O12+Q12+S12+U12+W12+Y12+AA12+AC12+AE12</f>
        <v>527375.26470990002</v>
      </c>
      <c r="AI12" s="177">
        <f t="shared" ref="AI12:AI50" si="17">F12+G12</f>
        <v>974</v>
      </c>
      <c r="AJ12">
        <f t="shared" ref="AJ12:AJ50" si="18">IF(AI12&gt;0,IF($H$51&gt;0,AI12*(H12/$H$51),AI12*(J12/$J$51)),0)</f>
        <v>334.10008071025015</v>
      </c>
      <c r="AK12">
        <f>IF(B12='5. Oppsummering Budsjett'!$C$10,IF(AI12&gt;0,IF($H$52&gt;0,AI12*(H12/$H$52),AI12*(J12/$J$52)),0))</f>
        <v>974</v>
      </c>
      <c r="AL12" t="s">
        <v>545</v>
      </c>
    </row>
    <row r="13" spans="1:38" x14ac:dyDescent="0.25">
      <c r="A13" s="20" t="s">
        <v>96</v>
      </c>
      <c r="B13" s="20">
        <v>2</v>
      </c>
      <c r="C13" s="20" t="s">
        <v>19</v>
      </c>
      <c r="D13" s="21" t="str">
        <f>IF(E13&gt;0,VLOOKUP(E13,Oppslag!$S$14:$W$27,5,FALSE),0)</f>
        <v>573'-648'</v>
      </c>
      <c r="E13" s="156" t="str">
        <f>IF(C13&gt;0,VLOOKUP(C13,Oppslag!B:F,5,FALSE),0)</f>
        <v>Forsker 4</v>
      </c>
      <c r="F13" s="157">
        <f>IF(E13&gt;0,VLOOKUP(E13,Oppslag!$S$14:$V$27,2,FALSE),0)</f>
        <v>504</v>
      </c>
      <c r="G13" s="157">
        <f>IF(E13&gt;0,VLOOKUP(E13,Oppslag!$S$14:$V$27,3,FALSE),0)</f>
        <v>277</v>
      </c>
      <c r="H13" s="23"/>
      <c r="I13" s="158">
        <f t="shared" si="3"/>
        <v>0</v>
      </c>
      <c r="J13" s="23">
        <f>1628*10%</f>
        <v>162.80000000000001</v>
      </c>
      <c r="K13" s="158">
        <f t="shared" si="4"/>
        <v>130961.20400000003</v>
      </c>
      <c r="L13" s="23">
        <f>1628*10%</f>
        <v>162.80000000000001</v>
      </c>
      <c r="M13" s="158">
        <f t="shared" si="5"/>
        <v>134890.04012000002</v>
      </c>
      <c r="N13" s="23">
        <f>1628*10%</f>
        <v>162.80000000000001</v>
      </c>
      <c r="O13" s="158">
        <f t="shared" si="6"/>
        <v>138936.74132360003</v>
      </c>
      <c r="P13" s="23">
        <f>1628*10%</f>
        <v>162.80000000000001</v>
      </c>
      <c r="Q13" s="158">
        <f t="shared" si="7"/>
        <v>143104.84356330804</v>
      </c>
      <c r="R13" s="23"/>
      <c r="S13" s="158">
        <f t="shared" si="8"/>
        <v>0</v>
      </c>
      <c r="T13" s="23"/>
      <c r="U13" s="158">
        <f t="shared" si="9"/>
        <v>0</v>
      </c>
      <c r="V13" s="23"/>
      <c r="W13" s="158">
        <f t="shared" si="10"/>
        <v>0</v>
      </c>
      <c r="X13" s="23"/>
      <c r="Y13" s="158">
        <f t="shared" si="11"/>
        <v>0</v>
      </c>
      <c r="Z13" s="23"/>
      <c r="AA13" s="158">
        <f t="shared" si="12"/>
        <v>0</v>
      </c>
      <c r="AB13" s="23"/>
      <c r="AC13" s="158">
        <f t="shared" si="13"/>
        <v>0</v>
      </c>
      <c r="AD13" s="23"/>
      <c r="AE13" s="158">
        <f t="shared" si="14"/>
        <v>0</v>
      </c>
      <c r="AF13" s="158">
        <f t="shared" si="15"/>
        <v>651.20000000000005</v>
      </c>
      <c r="AG13" s="158">
        <f t="shared" si="16"/>
        <v>547892.82900690811</v>
      </c>
      <c r="AI13" s="177">
        <f t="shared" si="17"/>
        <v>781</v>
      </c>
      <c r="AJ13">
        <f t="shared" si="18"/>
        <v>0</v>
      </c>
      <c r="AK13">
        <f>IF(B13='5. Oppsummering Budsjett'!$C$10,IF(AI13&gt;0,IF($H$52&gt;0,AI13*(H13/$H$52),AI13*(J13/$J$52)),0))</f>
        <v>0</v>
      </c>
      <c r="AL13" t="s">
        <v>546</v>
      </c>
    </row>
    <row r="14" spans="1:38" x14ac:dyDescent="0.25">
      <c r="A14" s="20" t="s">
        <v>98</v>
      </c>
      <c r="B14" s="20"/>
      <c r="C14" s="20"/>
      <c r="D14" s="21">
        <f>IF(E14&gt;0,VLOOKUP(E14,Oppslag!$S$14:$W$27,5,FALSE),0)</f>
        <v>0</v>
      </c>
      <c r="E14" s="156">
        <f>IF(C14&gt;0,VLOOKUP(C14,Oppslag!B:F,5,FALSE),0)</f>
        <v>0</v>
      </c>
      <c r="F14" s="157">
        <f>IF(E14&gt;0,VLOOKUP(E14,Oppslag!$S$14:$V$27,2,FALSE),0)</f>
        <v>0</v>
      </c>
      <c r="G14" s="157">
        <f>IF(E14&gt;0,VLOOKUP(E14,Oppslag!$S$14:$V$27,3,FALSE),0)</f>
        <v>0</v>
      </c>
      <c r="H14" s="23"/>
      <c r="I14" s="158">
        <f t="shared" si="3"/>
        <v>0</v>
      </c>
      <c r="J14" s="23"/>
      <c r="K14" s="158">
        <f t="shared" si="4"/>
        <v>0</v>
      </c>
      <c r="L14" s="23"/>
      <c r="M14" s="158">
        <f t="shared" si="5"/>
        <v>0</v>
      </c>
      <c r="N14" s="23"/>
      <c r="O14" s="158">
        <f t="shared" si="6"/>
        <v>0</v>
      </c>
      <c r="P14" s="23"/>
      <c r="Q14" s="158">
        <f t="shared" si="7"/>
        <v>0</v>
      </c>
      <c r="R14" s="23"/>
      <c r="S14" s="158">
        <f t="shared" si="8"/>
        <v>0</v>
      </c>
      <c r="T14" s="23"/>
      <c r="U14" s="158">
        <f t="shared" si="9"/>
        <v>0</v>
      </c>
      <c r="V14" s="23"/>
      <c r="W14" s="158">
        <f t="shared" si="10"/>
        <v>0</v>
      </c>
      <c r="X14" s="23"/>
      <c r="Y14" s="158">
        <f t="shared" si="11"/>
        <v>0</v>
      </c>
      <c r="Z14" s="23"/>
      <c r="AA14" s="158">
        <f t="shared" si="12"/>
        <v>0</v>
      </c>
      <c r="AB14" s="23"/>
      <c r="AC14" s="158">
        <f t="shared" si="13"/>
        <v>0</v>
      </c>
      <c r="AD14" s="23"/>
      <c r="AE14" s="158">
        <f t="shared" si="14"/>
        <v>0</v>
      </c>
      <c r="AF14" s="158">
        <f t="shared" si="15"/>
        <v>0</v>
      </c>
      <c r="AG14" s="158">
        <f t="shared" si="16"/>
        <v>0</v>
      </c>
      <c r="AI14" s="177">
        <f t="shared" si="17"/>
        <v>0</v>
      </c>
      <c r="AJ14">
        <f t="shared" si="18"/>
        <v>0</v>
      </c>
      <c r="AK14" t="b">
        <f>IF(B14='5. Oppsummering Budsjett'!$C$10,IF(AI14&gt;0,IF($H$52&gt;0,AI14*(H14/$H$52),AI14*(J14/$J$52)),0))</f>
        <v>0</v>
      </c>
    </row>
    <row r="15" spans="1:38" x14ac:dyDescent="0.25">
      <c r="A15" s="20" t="s">
        <v>99</v>
      </c>
      <c r="B15" s="20"/>
      <c r="C15" s="20"/>
      <c r="D15" s="21">
        <f>IF(E15&gt;0,VLOOKUP(E15,Oppslag!$S$14:$W$27,5,FALSE),0)</f>
        <v>0</v>
      </c>
      <c r="E15" s="156">
        <f>IF(C15&gt;0,VLOOKUP(C15,Oppslag!B:F,5,FALSE),0)</f>
        <v>0</v>
      </c>
      <c r="F15" s="157">
        <f>IF(E15&gt;0,VLOOKUP(E15,Oppslag!$S$14:$V$27,2,FALSE),0)</f>
        <v>0</v>
      </c>
      <c r="G15" s="157">
        <f>IF(E15&gt;0,VLOOKUP(E15,Oppslag!$S$14:$V$27,3,FALSE),0)</f>
        <v>0</v>
      </c>
      <c r="H15" s="23"/>
      <c r="I15" s="158">
        <f t="shared" si="3"/>
        <v>0</v>
      </c>
      <c r="J15" s="23"/>
      <c r="K15" s="158">
        <f t="shared" si="4"/>
        <v>0</v>
      </c>
      <c r="L15" s="23"/>
      <c r="M15" s="158">
        <f t="shared" si="5"/>
        <v>0</v>
      </c>
      <c r="N15" s="23"/>
      <c r="O15" s="158">
        <f t="shared" si="6"/>
        <v>0</v>
      </c>
      <c r="P15" s="23"/>
      <c r="Q15" s="158">
        <f t="shared" si="7"/>
        <v>0</v>
      </c>
      <c r="R15" s="23"/>
      <c r="S15" s="158">
        <f t="shared" si="8"/>
        <v>0</v>
      </c>
      <c r="T15" s="23"/>
      <c r="U15" s="158">
        <f t="shared" si="9"/>
        <v>0</v>
      </c>
      <c r="V15" s="23"/>
      <c r="W15" s="158">
        <f t="shared" si="10"/>
        <v>0</v>
      </c>
      <c r="X15" s="23"/>
      <c r="Y15" s="158">
        <f t="shared" si="11"/>
        <v>0</v>
      </c>
      <c r="Z15" s="23"/>
      <c r="AA15" s="158">
        <f t="shared" si="12"/>
        <v>0</v>
      </c>
      <c r="AB15" s="23"/>
      <c r="AC15" s="158">
        <f t="shared" si="13"/>
        <v>0</v>
      </c>
      <c r="AD15" s="23"/>
      <c r="AE15" s="158">
        <f t="shared" si="14"/>
        <v>0</v>
      </c>
      <c r="AF15" s="158">
        <f t="shared" si="15"/>
        <v>0</v>
      </c>
      <c r="AG15" s="158">
        <f t="shared" si="16"/>
        <v>0</v>
      </c>
      <c r="AI15" s="177">
        <f t="shared" si="17"/>
        <v>0</v>
      </c>
      <c r="AJ15">
        <f t="shared" si="18"/>
        <v>0</v>
      </c>
      <c r="AK15" t="b">
        <f>IF(B15='5. Oppsummering Budsjett'!$C$10,IF(AI15&gt;0,IF($H$52&gt;0,AI15*(H15/$H$52),AI15*(J15/$J$52)),0))</f>
        <v>0</v>
      </c>
    </row>
    <row r="16" spans="1:38" x14ac:dyDescent="0.25">
      <c r="A16" s="20" t="s">
        <v>100</v>
      </c>
      <c r="B16" s="20"/>
      <c r="C16" s="20"/>
      <c r="D16" s="21">
        <f>IF(E16&gt;0,VLOOKUP(E16,Oppslag!$S$14:$W$27,5,FALSE),0)</f>
        <v>0</v>
      </c>
      <c r="E16" s="156">
        <f>IF(C16&gt;0,VLOOKUP(C16,Oppslag!B:F,5,FALSE),0)</f>
        <v>0</v>
      </c>
      <c r="F16" s="157">
        <f>IF(E16&gt;0,VLOOKUP(E16,Oppslag!$S$14:$V$27,2,FALSE),0)</f>
        <v>0</v>
      </c>
      <c r="G16" s="157">
        <f>IF(E16&gt;0,VLOOKUP(E16,Oppslag!$S$14:$V$27,3,FALSE),0)</f>
        <v>0</v>
      </c>
      <c r="H16" s="23"/>
      <c r="I16" s="158">
        <f t="shared" ref="I16:I50" si="19">C94+D94</f>
        <v>0</v>
      </c>
      <c r="J16" s="23"/>
      <c r="K16" s="158">
        <f t="shared" ref="K16:K50" si="20">E94+F94</f>
        <v>0</v>
      </c>
      <c r="L16" s="23"/>
      <c r="M16" s="158">
        <f t="shared" ref="M16:M50" si="21">G94+H94</f>
        <v>0</v>
      </c>
      <c r="N16" s="23"/>
      <c r="O16" s="158">
        <f t="shared" ref="O16:O50" si="22">I94+J94</f>
        <v>0</v>
      </c>
      <c r="P16" s="23"/>
      <c r="Q16" s="158">
        <f t="shared" ref="Q16:Q50" si="23">K94+L94</f>
        <v>0</v>
      </c>
      <c r="R16" s="23"/>
      <c r="S16" s="158">
        <f t="shared" ref="S16:S50" si="24">M94+N94</f>
        <v>0</v>
      </c>
      <c r="T16" s="23"/>
      <c r="U16" s="158">
        <f t="shared" ref="U16:U50" si="25">O94+P94</f>
        <v>0</v>
      </c>
      <c r="V16" s="23"/>
      <c r="W16" s="158">
        <f t="shared" ref="W16:W50" si="26">Q94+R94</f>
        <v>0</v>
      </c>
      <c r="X16" s="23"/>
      <c r="Y16" s="158">
        <f t="shared" ref="Y16:Y50" si="27">S94+T94</f>
        <v>0</v>
      </c>
      <c r="Z16" s="23"/>
      <c r="AA16" s="158">
        <f t="shared" ref="AA16:AA50" si="28">U94+V94</f>
        <v>0</v>
      </c>
      <c r="AB16" s="23"/>
      <c r="AC16" s="158">
        <f t="shared" ref="AC16:AC50" si="29">W94+X94</f>
        <v>0</v>
      </c>
      <c r="AD16" s="23"/>
      <c r="AE16" s="158">
        <f t="shared" ref="AE16:AE50" si="30">Y94+Z94</f>
        <v>0</v>
      </c>
      <c r="AF16" s="158">
        <f t="shared" si="15"/>
        <v>0</v>
      </c>
      <c r="AG16" s="158">
        <f t="shared" si="16"/>
        <v>0</v>
      </c>
      <c r="AI16" s="177">
        <f t="shared" si="17"/>
        <v>0</v>
      </c>
      <c r="AJ16">
        <f t="shared" si="18"/>
        <v>0</v>
      </c>
      <c r="AK16" t="b">
        <f>IF(B16='5. Oppsummering Budsjett'!$C$10,IF(AI16&gt;0,IF($H$52&gt;0,AI16*(H16/$H$52),AI16*(J16/$J$52)),0))</f>
        <v>0</v>
      </c>
    </row>
    <row r="17" spans="1:37" x14ac:dyDescent="0.25">
      <c r="A17" s="20" t="s">
        <v>101</v>
      </c>
      <c r="B17" s="20"/>
      <c r="C17" s="20"/>
      <c r="D17" s="21">
        <f>IF(E17&gt;0,VLOOKUP(E17,Oppslag!$S$14:$W$27,5,FALSE),0)</f>
        <v>0</v>
      </c>
      <c r="E17" s="156">
        <f>IF(C17&gt;0,VLOOKUP(C17,Oppslag!B:F,5,FALSE),0)</f>
        <v>0</v>
      </c>
      <c r="F17" s="157">
        <f>IF(E17&gt;0,VLOOKUP(E17,Oppslag!$S$14:$V$27,2,FALSE),0)</f>
        <v>0</v>
      </c>
      <c r="G17" s="157">
        <f>IF(E17&gt;0,VLOOKUP(E17,Oppslag!$S$14:$V$27,3,FALSE),0)</f>
        <v>0</v>
      </c>
      <c r="H17" s="23"/>
      <c r="I17" s="158">
        <f t="shared" si="19"/>
        <v>0</v>
      </c>
      <c r="J17" s="23"/>
      <c r="K17" s="158">
        <f t="shared" si="20"/>
        <v>0</v>
      </c>
      <c r="L17" s="23"/>
      <c r="M17" s="158">
        <f t="shared" si="21"/>
        <v>0</v>
      </c>
      <c r="N17" s="23"/>
      <c r="O17" s="158">
        <f t="shared" si="22"/>
        <v>0</v>
      </c>
      <c r="P17" s="23"/>
      <c r="Q17" s="158">
        <f t="shared" si="23"/>
        <v>0</v>
      </c>
      <c r="R17" s="23"/>
      <c r="S17" s="158">
        <f t="shared" si="24"/>
        <v>0</v>
      </c>
      <c r="T17" s="23"/>
      <c r="U17" s="158">
        <f t="shared" si="25"/>
        <v>0</v>
      </c>
      <c r="V17" s="23"/>
      <c r="W17" s="158">
        <f t="shared" si="26"/>
        <v>0</v>
      </c>
      <c r="X17" s="23"/>
      <c r="Y17" s="158">
        <f t="shared" si="27"/>
        <v>0</v>
      </c>
      <c r="Z17" s="23"/>
      <c r="AA17" s="158">
        <f t="shared" si="28"/>
        <v>0</v>
      </c>
      <c r="AB17" s="23"/>
      <c r="AC17" s="158">
        <f t="shared" si="29"/>
        <v>0</v>
      </c>
      <c r="AD17" s="23"/>
      <c r="AE17" s="158">
        <f t="shared" si="30"/>
        <v>0</v>
      </c>
      <c r="AF17" s="158">
        <f t="shared" si="15"/>
        <v>0</v>
      </c>
      <c r="AG17" s="158">
        <f t="shared" si="16"/>
        <v>0</v>
      </c>
      <c r="AI17" s="177">
        <f t="shared" si="17"/>
        <v>0</v>
      </c>
      <c r="AJ17">
        <f t="shared" si="18"/>
        <v>0</v>
      </c>
      <c r="AK17" t="b">
        <f>IF(B17='5. Oppsummering Budsjett'!$C$10,IF(AI17&gt;0,IF($H$52&gt;0,AI17*(H17/$H$52),AI17*(J17/$J$52)),0))</f>
        <v>0</v>
      </c>
    </row>
    <row r="18" spans="1:37" x14ac:dyDescent="0.25">
      <c r="A18" s="20" t="s">
        <v>102</v>
      </c>
      <c r="B18" s="20"/>
      <c r="C18" s="20"/>
      <c r="D18" s="21">
        <f>IF(E18&gt;0,VLOOKUP(E18,Oppslag!$S$14:$W$27,5,FALSE),0)</f>
        <v>0</v>
      </c>
      <c r="E18" s="156">
        <f>IF(C18&gt;0,VLOOKUP(C18,Oppslag!B:F,5,FALSE),0)</f>
        <v>0</v>
      </c>
      <c r="F18" s="157">
        <f>IF(E18&gt;0,VLOOKUP(E18,Oppslag!$S$14:$V$27,2,FALSE),0)</f>
        <v>0</v>
      </c>
      <c r="G18" s="157">
        <f>IF(E18&gt;0,VLOOKUP(E18,Oppslag!$S$14:$V$27,3,FALSE),0)</f>
        <v>0</v>
      </c>
      <c r="H18" s="23"/>
      <c r="I18" s="158">
        <f t="shared" si="19"/>
        <v>0</v>
      </c>
      <c r="J18" s="23"/>
      <c r="K18" s="158">
        <f t="shared" si="20"/>
        <v>0</v>
      </c>
      <c r="L18" s="23"/>
      <c r="M18" s="158">
        <f t="shared" si="21"/>
        <v>0</v>
      </c>
      <c r="N18" s="23"/>
      <c r="O18" s="158">
        <f t="shared" si="22"/>
        <v>0</v>
      </c>
      <c r="P18" s="23"/>
      <c r="Q18" s="158">
        <f t="shared" si="23"/>
        <v>0</v>
      </c>
      <c r="R18" s="23"/>
      <c r="S18" s="158">
        <f t="shared" si="24"/>
        <v>0</v>
      </c>
      <c r="T18" s="23"/>
      <c r="U18" s="158">
        <f t="shared" si="25"/>
        <v>0</v>
      </c>
      <c r="V18" s="23"/>
      <c r="W18" s="158">
        <f t="shared" si="26"/>
        <v>0</v>
      </c>
      <c r="X18" s="23"/>
      <c r="Y18" s="158">
        <f t="shared" si="27"/>
        <v>0</v>
      </c>
      <c r="Z18" s="23"/>
      <c r="AA18" s="158">
        <f t="shared" si="28"/>
        <v>0</v>
      </c>
      <c r="AB18" s="23"/>
      <c r="AC18" s="158">
        <f t="shared" si="29"/>
        <v>0</v>
      </c>
      <c r="AD18" s="23"/>
      <c r="AE18" s="158">
        <f t="shared" si="30"/>
        <v>0</v>
      </c>
      <c r="AF18" s="158">
        <f t="shared" si="15"/>
        <v>0</v>
      </c>
      <c r="AG18" s="158">
        <f t="shared" si="16"/>
        <v>0</v>
      </c>
      <c r="AI18" s="177">
        <f t="shared" si="17"/>
        <v>0</v>
      </c>
      <c r="AJ18">
        <f t="shared" si="18"/>
        <v>0</v>
      </c>
      <c r="AK18" t="b">
        <f>IF(B18='5. Oppsummering Budsjett'!$C$10,IF(AI18&gt;0,IF($H$52&gt;0,AI18*(H18/$H$52),AI18*(J18/$J$52)),0))</f>
        <v>0</v>
      </c>
    </row>
    <row r="19" spans="1:37" hidden="1" outlineLevel="1" x14ac:dyDescent="0.25">
      <c r="A19" s="20" t="s">
        <v>103</v>
      </c>
      <c r="B19" s="20"/>
      <c r="C19" s="20"/>
      <c r="D19" s="21">
        <f>IF(E19&gt;0,VLOOKUP(E19,Oppslag!$S$14:$W$27,5,FALSE),0)</f>
        <v>0</v>
      </c>
      <c r="E19" s="156">
        <f>IF(C19&gt;0,VLOOKUP(C19,Oppslag!B:F,5,FALSE),0)</f>
        <v>0</v>
      </c>
      <c r="F19" s="157">
        <f>IF(E19&gt;0,VLOOKUP(E19,Oppslag!$S$14:$V$27,2,FALSE),0)</f>
        <v>0</v>
      </c>
      <c r="G19" s="157">
        <f>IF(E19&gt;0,VLOOKUP(E19,Oppslag!$S$14:$V$27,3,FALSE),0)</f>
        <v>0</v>
      </c>
      <c r="H19" s="23"/>
      <c r="I19" s="158">
        <f t="shared" si="19"/>
        <v>0</v>
      </c>
      <c r="J19" s="23"/>
      <c r="K19" s="158">
        <f t="shared" si="20"/>
        <v>0</v>
      </c>
      <c r="L19" s="23"/>
      <c r="M19" s="158">
        <f t="shared" si="21"/>
        <v>0</v>
      </c>
      <c r="N19" s="23"/>
      <c r="O19" s="158">
        <f t="shared" si="22"/>
        <v>0</v>
      </c>
      <c r="P19" s="23"/>
      <c r="Q19" s="158">
        <f t="shared" si="23"/>
        <v>0</v>
      </c>
      <c r="R19" s="23"/>
      <c r="S19" s="158">
        <f t="shared" si="24"/>
        <v>0</v>
      </c>
      <c r="T19" s="23"/>
      <c r="U19" s="158">
        <f t="shared" si="25"/>
        <v>0</v>
      </c>
      <c r="V19" s="23"/>
      <c r="W19" s="158">
        <f t="shared" si="26"/>
        <v>0</v>
      </c>
      <c r="X19" s="23"/>
      <c r="Y19" s="158">
        <f t="shared" si="27"/>
        <v>0</v>
      </c>
      <c r="Z19" s="23"/>
      <c r="AA19" s="158">
        <f t="shared" si="28"/>
        <v>0</v>
      </c>
      <c r="AB19" s="23"/>
      <c r="AC19" s="158">
        <f t="shared" si="29"/>
        <v>0</v>
      </c>
      <c r="AD19" s="23"/>
      <c r="AE19" s="158">
        <f t="shared" si="30"/>
        <v>0</v>
      </c>
      <c r="AF19" s="158">
        <f t="shared" si="15"/>
        <v>0</v>
      </c>
      <c r="AG19" s="158">
        <f t="shared" si="16"/>
        <v>0</v>
      </c>
      <c r="AI19" s="177">
        <f t="shared" si="17"/>
        <v>0</v>
      </c>
      <c r="AJ19">
        <f t="shared" si="18"/>
        <v>0</v>
      </c>
      <c r="AK19" t="b">
        <f>IF(B19='5. Oppsummering Budsjett'!$C$10,IF(AI19&gt;0,IF($H$52&gt;0,AI19*(H19/$H$52),AI19*(J19/$J$52)),0))</f>
        <v>0</v>
      </c>
    </row>
    <row r="20" spans="1:37" hidden="1" outlineLevel="1" x14ac:dyDescent="0.25">
      <c r="A20" s="20" t="s">
        <v>104</v>
      </c>
      <c r="B20" s="20"/>
      <c r="C20" s="20"/>
      <c r="D20" s="21">
        <f>IF(E20&gt;0,VLOOKUP(E20,Oppslag!$S$14:$W$27,5,FALSE),0)</f>
        <v>0</v>
      </c>
      <c r="E20" s="156">
        <f>IF(C20&gt;0,VLOOKUP(C20,Oppslag!B:F,5,FALSE),0)</f>
        <v>0</v>
      </c>
      <c r="F20" s="157">
        <f>IF(E20&gt;0,VLOOKUP(E20,Oppslag!$S$14:$V$27,2,FALSE),0)</f>
        <v>0</v>
      </c>
      <c r="G20" s="157">
        <f>IF(E20&gt;0,VLOOKUP(E20,Oppslag!$S$14:$V$27,3,FALSE),0)</f>
        <v>0</v>
      </c>
      <c r="H20" s="23"/>
      <c r="I20" s="158">
        <f t="shared" si="19"/>
        <v>0</v>
      </c>
      <c r="J20" s="23"/>
      <c r="K20" s="158">
        <f t="shared" si="20"/>
        <v>0</v>
      </c>
      <c r="L20" s="23"/>
      <c r="M20" s="158">
        <f t="shared" si="21"/>
        <v>0</v>
      </c>
      <c r="N20" s="23"/>
      <c r="O20" s="158">
        <f t="shared" si="22"/>
        <v>0</v>
      </c>
      <c r="P20" s="23"/>
      <c r="Q20" s="158">
        <f t="shared" si="23"/>
        <v>0</v>
      </c>
      <c r="R20" s="23"/>
      <c r="S20" s="158">
        <f t="shared" si="24"/>
        <v>0</v>
      </c>
      <c r="T20" s="23"/>
      <c r="U20" s="158">
        <f t="shared" si="25"/>
        <v>0</v>
      </c>
      <c r="V20" s="23"/>
      <c r="W20" s="158">
        <f t="shared" si="26"/>
        <v>0</v>
      </c>
      <c r="X20" s="23"/>
      <c r="Y20" s="158">
        <f t="shared" si="27"/>
        <v>0</v>
      </c>
      <c r="Z20" s="23"/>
      <c r="AA20" s="158">
        <f t="shared" si="28"/>
        <v>0</v>
      </c>
      <c r="AB20" s="23"/>
      <c r="AC20" s="158">
        <f t="shared" si="29"/>
        <v>0</v>
      </c>
      <c r="AD20" s="23"/>
      <c r="AE20" s="158">
        <f t="shared" si="30"/>
        <v>0</v>
      </c>
      <c r="AF20" s="158">
        <f t="shared" si="15"/>
        <v>0</v>
      </c>
      <c r="AG20" s="158">
        <f t="shared" si="16"/>
        <v>0</v>
      </c>
      <c r="AI20" s="177">
        <f t="shared" si="17"/>
        <v>0</v>
      </c>
      <c r="AJ20">
        <f t="shared" si="18"/>
        <v>0</v>
      </c>
      <c r="AK20" t="b">
        <f>IF(B20='5. Oppsummering Budsjett'!$C$10,IF(AI20&gt;0,IF($H$52&gt;0,AI20*(H20/$H$52),AI20*(J20/$J$52)),0))</f>
        <v>0</v>
      </c>
    </row>
    <row r="21" spans="1:37" hidden="1" outlineLevel="1" x14ac:dyDescent="0.25">
      <c r="A21" s="20" t="s">
        <v>105</v>
      </c>
      <c r="B21" s="20"/>
      <c r="C21" s="20"/>
      <c r="D21" s="21">
        <f>IF(E21&gt;0,VLOOKUP(E21,Oppslag!$S$14:$W$27,5,FALSE),0)</f>
        <v>0</v>
      </c>
      <c r="E21" s="156">
        <f>IF(C21&gt;0,VLOOKUP(C21,Oppslag!B:F,5,FALSE),0)</f>
        <v>0</v>
      </c>
      <c r="F21" s="157">
        <f>IF(E21&gt;0,VLOOKUP(E21,Oppslag!$S$14:$V$27,2,FALSE),0)</f>
        <v>0</v>
      </c>
      <c r="G21" s="157">
        <f>IF(E21&gt;0,VLOOKUP(E21,Oppslag!$S$14:$V$27,3,FALSE),0)</f>
        <v>0</v>
      </c>
      <c r="H21" s="23"/>
      <c r="I21" s="158">
        <f t="shared" si="19"/>
        <v>0</v>
      </c>
      <c r="J21" s="23"/>
      <c r="K21" s="158">
        <f t="shared" si="20"/>
        <v>0</v>
      </c>
      <c r="L21" s="23"/>
      <c r="M21" s="158">
        <f t="shared" si="21"/>
        <v>0</v>
      </c>
      <c r="N21" s="23"/>
      <c r="O21" s="158">
        <f t="shared" si="22"/>
        <v>0</v>
      </c>
      <c r="P21" s="23"/>
      <c r="Q21" s="158">
        <f t="shared" si="23"/>
        <v>0</v>
      </c>
      <c r="R21" s="23"/>
      <c r="S21" s="158">
        <f t="shared" si="24"/>
        <v>0</v>
      </c>
      <c r="T21" s="23"/>
      <c r="U21" s="158">
        <f t="shared" si="25"/>
        <v>0</v>
      </c>
      <c r="V21" s="23"/>
      <c r="W21" s="158">
        <f t="shared" si="26"/>
        <v>0</v>
      </c>
      <c r="X21" s="23"/>
      <c r="Y21" s="158">
        <f t="shared" si="27"/>
        <v>0</v>
      </c>
      <c r="Z21" s="23"/>
      <c r="AA21" s="158">
        <f t="shared" si="28"/>
        <v>0</v>
      </c>
      <c r="AB21" s="23"/>
      <c r="AC21" s="158">
        <f t="shared" si="29"/>
        <v>0</v>
      </c>
      <c r="AD21" s="23"/>
      <c r="AE21" s="158">
        <f t="shared" si="30"/>
        <v>0</v>
      </c>
      <c r="AF21" s="158">
        <f t="shared" si="15"/>
        <v>0</v>
      </c>
      <c r="AG21" s="158">
        <f t="shared" si="16"/>
        <v>0</v>
      </c>
      <c r="AI21" s="177">
        <f t="shared" si="17"/>
        <v>0</v>
      </c>
      <c r="AJ21">
        <f t="shared" si="18"/>
        <v>0</v>
      </c>
      <c r="AK21" t="b">
        <f>IF(B21='5. Oppsummering Budsjett'!$C$10,IF(AI21&gt;0,IF($H$52&gt;0,AI21*(H21/$H$52),AI21*(J21/$J$52)),0))</f>
        <v>0</v>
      </c>
    </row>
    <row r="22" spans="1:37" hidden="1" outlineLevel="1" x14ac:dyDescent="0.25">
      <c r="A22" s="20" t="s">
        <v>106</v>
      </c>
      <c r="B22" s="20"/>
      <c r="C22" s="20"/>
      <c r="D22" s="21">
        <f>IF(E22&gt;0,VLOOKUP(E22,Oppslag!$S$14:$W$27,5,FALSE),0)</f>
        <v>0</v>
      </c>
      <c r="E22" s="156">
        <f>IF(C22&gt;0,VLOOKUP(C22,Oppslag!B:F,5,FALSE),0)</f>
        <v>0</v>
      </c>
      <c r="F22" s="157">
        <f>IF(E22&gt;0,VLOOKUP(E22,Oppslag!$S$14:$V$27,2,FALSE),0)</f>
        <v>0</v>
      </c>
      <c r="G22" s="157">
        <f>IF(E22&gt;0,VLOOKUP(E22,Oppslag!$S$14:$V$27,3,FALSE),0)</f>
        <v>0</v>
      </c>
      <c r="H22" s="23"/>
      <c r="I22" s="158">
        <f t="shared" si="19"/>
        <v>0</v>
      </c>
      <c r="J22" s="23"/>
      <c r="K22" s="158">
        <f t="shared" si="20"/>
        <v>0</v>
      </c>
      <c r="L22" s="23"/>
      <c r="M22" s="158">
        <f t="shared" si="21"/>
        <v>0</v>
      </c>
      <c r="N22" s="23"/>
      <c r="O22" s="158">
        <f t="shared" si="22"/>
        <v>0</v>
      </c>
      <c r="P22" s="23"/>
      <c r="Q22" s="158">
        <f t="shared" si="23"/>
        <v>0</v>
      </c>
      <c r="R22" s="23"/>
      <c r="S22" s="158">
        <f t="shared" si="24"/>
        <v>0</v>
      </c>
      <c r="T22" s="23"/>
      <c r="U22" s="158">
        <f t="shared" si="25"/>
        <v>0</v>
      </c>
      <c r="V22" s="23"/>
      <c r="W22" s="158">
        <f t="shared" si="26"/>
        <v>0</v>
      </c>
      <c r="X22" s="23"/>
      <c r="Y22" s="158">
        <f t="shared" si="27"/>
        <v>0</v>
      </c>
      <c r="Z22" s="23"/>
      <c r="AA22" s="158">
        <f t="shared" si="28"/>
        <v>0</v>
      </c>
      <c r="AB22" s="23"/>
      <c r="AC22" s="158">
        <f t="shared" si="29"/>
        <v>0</v>
      </c>
      <c r="AD22" s="23"/>
      <c r="AE22" s="158">
        <f t="shared" si="30"/>
        <v>0</v>
      </c>
      <c r="AF22" s="158">
        <f t="shared" si="15"/>
        <v>0</v>
      </c>
      <c r="AG22" s="158">
        <f t="shared" si="16"/>
        <v>0</v>
      </c>
      <c r="AI22" s="177">
        <f t="shared" si="17"/>
        <v>0</v>
      </c>
      <c r="AJ22">
        <f t="shared" si="18"/>
        <v>0</v>
      </c>
      <c r="AK22" t="b">
        <f>IF(B22='5. Oppsummering Budsjett'!$C$10,IF(AI22&gt;0,IF($H$52&gt;0,AI22*(H22/$H$52),AI22*(J22/$J$52)),0))</f>
        <v>0</v>
      </c>
    </row>
    <row r="23" spans="1:37" hidden="1" outlineLevel="1" x14ac:dyDescent="0.25">
      <c r="A23" s="20" t="s">
        <v>107</v>
      </c>
      <c r="B23" s="20"/>
      <c r="C23" s="20"/>
      <c r="D23" s="21">
        <f>IF(E23&gt;0,VLOOKUP(E23,Oppslag!$S$14:$W$27,5,FALSE),0)</f>
        <v>0</v>
      </c>
      <c r="E23" s="156">
        <f>IF(C23&gt;0,VLOOKUP(C23,Oppslag!B:F,5,FALSE),0)</f>
        <v>0</v>
      </c>
      <c r="F23" s="157">
        <f>IF(E23&gt;0,VLOOKUP(E23,Oppslag!$S$14:$V$27,2,FALSE),0)</f>
        <v>0</v>
      </c>
      <c r="G23" s="157">
        <f>IF(E23&gt;0,VLOOKUP(E23,Oppslag!$S$14:$V$27,3,FALSE),0)</f>
        <v>0</v>
      </c>
      <c r="H23" s="23"/>
      <c r="I23" s="158">
        <f t="shared" si="19"/>
        <v>0</v>
      </c>
      <c r="J23" s="23"/>
      <c r="K23" s="158">
        <f t="shared" si="20"/>
        <v>0</v>
      </c>
      <c r="L23" s="23"/>
      <c r="M23" s="158">
        <f t="shared" si="21"/>
        <v>0</v>
      </c>
      <c r="N23" s="23"/>
      <c r="O23" s="158">
        <f t="shared" si="22"/>
        <v>0</v>
      </c>
      <c r="P23" s="23"/>
      <c r="Q23" s="158">
        <f t="shared" si="23"/>
        <v>0</v>
      </c>
      <c r="R23" s="23"/>
      <c r="S23" s="158">
        <f t="shared" si="24"/>
        <v>0</v>
      </c>
      <c r="T23" s="23"/>
      <c r="U23" s="158">
        <f t="shared" si="25"/>
        <v>0</v>
      </c>
      <c r="V23" s="23"/>
      <c r="W23" s="158">
        <f t="shared" si="26"/>
        <v>0</v>
      </c>
      <c r="X23" s="23"/>
      <c r="Y23" s="158">
        <f t="shared" si="27"/>
        <v>0</v>
      </c>
      <c r="Z23" s="23"/>
      <c r="AA23" s="158">
        <f t="shared" si="28"/>
        <v>0</v>
      </c>
      <c r="AB23" s="23"/>
      <c r="AC23" s="158">
        <f t="shared" si="29"/>
        <v>0</v>
      </c>
      <c r="AD23" s="23"/>
      <c r="AE23" s="158">
        <f t="shared" si="30"/>
        <v>0</v>
      </c>
      <c r="AF23" s="158">
        <f t="shared" si="15"/>
        <v>0</v>
      </c>
      <c r="AG23" s="158">
        <f t="shared" si="16"/>
        <v>0</v>
      </c>
      <c r="AI23" s="177">
        <f t="shared" si="17"/>
        <v>0</v>
      </c>
      <c r="AJ23">
        <f t="shared" si="18"/>
        <v>0</v>
      </c>
      <c r="AK23" t="b">
        <f>IF(B23='5. Oppsummering Budsjett'!$C$10,IF(AI23&gt;0,IF($H$52&gt;0,AI23*(H23/$H$52),AI23*(J23/$J$52)),0))</f>
        <v>0</v>
      </c>
    </row>
    <row r="24" spans="1:37" hidden="1" outlineLevel="1" x14ac:dyDescent="0.25">
      <c r="A24" s="20" t="s">
        <v>108</v>
      </c>
      <c r="B24" s="20"/>
      <c r="C24" s="20"/>
      <c r="D24" s="21">
        <f>IF(E24&gt;0,VLOOKUP(E24,Oppslag!$S$14:$W$27,5,FALSE),0)</f>
        <v>0</v>
      </c>
      <c r="E24" s="156">
        <f>IF(C24&gt;0,VLOOKUP(C24,Oppslag!B:F,5,FALSE),0)</f>
        <v>0</v>
      </c>
      <c r="F24" s="157">
        <f>IF(E24&gt;0,VLOOKUP(E24,Oppslag!$S$14:$V$27,2,FALSE),0)</f>
        <v>0</v>
      </c>
      <c r="G24" s="157">
        <f>IF(E24&gt;0,VLOOKUP(E24,Oppslag!$S$14:$V$27,3,FALSE),0)</f>
        <v>0</v>
      </c>
      <c r="H24" s="23"/>
      <c r="I24" s="158">
        <f t="shared" si="19"/>
        <v>0</v>
      </c>
      <c r="J24" s="23"/>
      <c r="K24" s="158">
        <f t="shared" si="20"/>
        <v>0</v>
      </c>
      <c r="L24" s="23"/>
      <c r="M24" s="158">
        <f t="shared" si="21"/>
        <v>0</v>
      </c>
      <c r="N24" s="23"/>
      <c r="O24" s="158">
        <f t="shared" si="22"/>
        <v>0</v>
      </c>
      <c r="P24" s="23"/>
      <c r="Q24" s="158">
        <f t="shared" si="23"/>
        <v>0</v>
      </c>
      <c r="R24" s="23"/>
      <c r="S24" s="158">
        <f t="shared" si="24"/>
        <v>0</v>
      </c>
      <c r="T24" s="23"/>
      <c r="U24" s="158">
        <f t="shared" si="25"/>
        <v>0</v>
      </c>
      <c r="V24" s="23"/>
      <c r="W24" s="158">
        <f t="shared" si="26"/>
        <v>0</v>
      </c>
      <c r="X24" s="23"/>
      <c r="Y24" s="158">
        <f t="shared" si="27"/>
        <v>0</v>
      </c>
      <c r="Z24" s="23"/>
      <c r="AA24" s="158">
        <f t="shared" si="28"/>
        <v>0</v>
      </c>
      <c r="AB24" s="23"/>
      <c r="AC24" s="158">
        <f t="shared" si="29"/>
        <v>0</v>
      </c>
      <c r="AD24" s="23"/>
      <c r="AE24" s="158">
        <f t="shared" si="30"/>
        <v>0</v>
      </c>
      <c r="AF24" s="158">
        <f t="shared" si="15"/>
        <v>0</v>
      </c>
      <c r="AG24" s="158">
        <f t="shared" si="16"/>
        <v>0</v>
      </c>
      <c r="AI24" s="177">
        <f t="shared" si="17"/>
        <v>0</v>
      </c>
      <c r="AJ24">
        <f t="shared" si="18"/>
        <v>0</v>
      </c>
      <c r="AK24" t="b">
        <f>IF(B24='5. Oppsummering Budsjett'!$C$10,IF(AI24&gt;0,IF($H$52&gt;0,AI24*(H24/$H$52),AI24*(J24/$J$52)),0))</f>
        <v>0</v>
      </c>
    </row>
    <row r="25" spans="1:37" hidden="1" outlineLevel="1" x14ac:dyDescent="0.25">
      <c r="A25" s="20" t="s">
        <v>109</v>
      </c>
      <c r="B25" s="20"/>
      <c r="C25" s="20"/>
      <c r="D25" s="21">
        <f>IF(E25&gt;0,VLOOKUP(E25,Oppslag!$S$14:$W$27,5,FALSE),0)</f>
        <v>0</v>
      </c>
      <c r="E25" s="156">
        <f>IF(C25&gt;0,VLOOKUP(C25,Oppslag!B:F,5,FALSE),0)</f>
        <v>0</v>
      </c>
      <c r="F25" s="157">
        <f>IF(E25&gt;0,VLOOKUP(E25,Oppslag!$S$14:$V$27,2,FALSE),0)</f>
        <v>0</v>
      </c>
      <c r="G25" s="157">
        <f>IF(E25&gt;0,VLOOKUP(E25,Oppslag!$S$14:$V$27,3,FALSE),0)</f>
        <v>0</v>
      </c>
      <c r="H25" s="23"/>
      <c r="I25" s="158">
        <f t="shared" si="19"/>
        <v>0</v>
      </c>
      <c r="J25" s="23"/>
      <c r="K25" s="158">
        <f t="shared" si="20"/>
        <v>0</v>
      </c>
      <c r="L25" s="23"/>
      <c r="M25" s="158">
        <f t="shared" si="21"/>
        <v>0</v>
      </c>
      <c r="N25" s="23"/>
      <c r="O25" s="158">
        <f t="shared" si="22"/>
        <v>0</v>
      </c>
      <c r="P25" s="23"/>
      <c r="Q25" s="158">
        <f t="shared" si="23"/>
        <v>0</v>
      </c>
      <c r="R25" s="23"/>
      <c r="S25" s="158">
        <f t="shared" si="24"/>
        <v>0</v>
      </c>
      <c r="T25" s="23"/>
      <c r="U25" s="158">
        <f t="shared" si="25"/>
        <v>0</v>
      </c>
      <c r="V25" s="23"/>
      <c r="W25" s="158">
        <f t="shared" si="26"/>
        <v>0</v>
      </c>
      <c r="X25" s="23"/>
      <c r="Y25" s="158">
        <f t="shared" si="27"/>
        <v>0</v>
      </c>
      <c r="Z25" s="23"/>
      <c r="AA25" s="158">
        <f t="shared" si="28"/>
        <v>0</v>
      </c>
      <c r="AB25" s="23"/>
      <c r="AC25" s="158">
        <f t="shared" si="29"/>
        <v>0</v>
      </c>
      <c r="AD25" s="23"/>
      <c r="AE25" s="158">
        <f t="shared" si="30"/>
        <v>0</v>
      </c>
      <c r="AF25" s="158">
        <f t="shared" si="15"/>
        <v>0</v>
      </c>
      <c r="AG25" s="158">
        <f t="shared" si="16"/>
        <v>0</v>
      </c>
      <c r="AI25" s="177">
        <f t="shared" si="17"/>
        <v>0</v>
      </c>
      <c r="AJ25">
        <f t="shared" si="18"/>
        <v>0</v>
      </c>
      <c r="AK25" t="b">
        <f>IF(B25='5. Oppsummering Budsjett'!$C$10,IF(AI25&gt;0,IF($H$52&gt;0,AI25*(H25/$H$52),AI25*(J25/$J$52)),0))</f>
        <v>0</v>
      </c>
    </row>
    <row r="26" spans="1:37" hidden="1" outlineLevel="1" x14ac:dyDescent="0.25">
      <c r="A26" s="20" t="s">
        <v>110</v>
      </c>
      <c r="B26" s="20"/>
      <c r="C26" s="20"/>
      <c r="D26" s="21">
        <f>IF(E26&gt;0,VLOOKUP(E26,Oppslag!$S$14:$W$27,5,FALSE),0)</f>
        <v>0</v>
      </c>
      <c r="E26" s="156">
        <f>IF(C26&gt;0,VLOOKUP(C26,Oppslag!B:F,5,FALSE),0)</f>
        <v>0</v>
      </c>
      <c r="F26" s="157">
        <f>IF(E26&gt;0,VLOOKUP(E26,Oppslag!$S$14:$V$27,2,FALSE),0)</f>
        <v>0</v>
      </c>
      <c r="G26" s="157">
        <f>IF(E26&gt;0,VLOOKUP(E26,Oppslag!$S$14:$V$27,3,FALSE),0)</f>
        <v>0</v>
      </c>
      <c r="H26" s="23"/>
      <c r="I26" s="158">
        <f t="shared" si="19"/>
        <v>0</v>
      </c>
      <c r="J26" s="23"/>
      <c r="K26" s="158">
        <f t="shared" si="20"/>
        <v>0</v>
      </c>
      <c r="L26" s="23"/>
      <c r="M26" s="158">
        <f t="shared" si="21"/>
        <v>0</v>
      </c>
      <c r="N26" s="23"/>
      <c r="O26" s="158">
        <f t="shared" si="22"/>
        <v>0</v>
      </c>
      <c r="P26" s="23"/>
      <c r="Q26" s="158">
        <f t="shared" si="23"/>
        <v>0</v>
      </c>
      <c r="R26" s="23"/>
      <c r="S26" s="158">
        <f t="shared" si="24"/>
        <v>0</v>
      </c>
      <c r="T26" s="23"/>
      <c r="U26" s="158">
        <f t="shared" si="25"/>
        <v>0</v>
      </c>
      <c r="V26" s="23"/>
      <c r="W26" s="158">
        <f t="shared" si="26"/>
        <v>0</v>
      </c>
      <c r="X26" s="23"/>
      <c r="Y26" s="158">
        <f t="shared" si="27"/>
        <v>0</v>
      </c>
      <c r="Z26" s="23"/>
      <c r="AA26" s="158">
        <f t="shared" si="28"/>
        <v>0</v>
      </c>
      <c r="AB26" s="23"/>
      <c r="AC26" s="158">
        <f t="shared" si="29"/>
        <v>0</v>
      </c>
      <c r="AD26" s="23"/>
      <c r="AE26" s="158">
        <f t="shared" si="30"/>
        <v>0</v>
      </c>
      <c r="AF26" s="158">
        <f t="shared" si="15"/>
        <v>0</v>
      </c>
      <c r="AG26" s="158">
        <f t="shared" si="16"/>
        <v>0</v>
      </c>
      <c r="AI26" s="177">
        <f t="shared" si="17"/>
        <v>0</v>
      </c>
      <c r="AJ26">
        <f t="shared" si="18"/>
        <v>0</v>
      </c>
      <c r="AK26" t="b">
        <f>IF(B26='5. Oppsummering Budsjett'!$C$10,IF(AI26&gt;0,IF($H$52&gt;0,AI26*(H26/$H$52),AI26*(J26/$J$52)),0))</f>
        <v>0</v>
      </c>
    </row>
    <row r="27" spans="1:37" hidden="1" outlineLevel="1" x14ac:dyDescent="0.25">
      <c r="A27" s="20" t="s">
        <v>111</v>
      </c>
      <c r="B27" s="20"/>
      <c r="C27" s="20"/>
      <c r="D27" s="21">
        <f>IF(E27&gt;0,VLOOKUP(E27,Oppslag!$S$14:$W$27,5,FALSE),0)</f>
        <v>0</v>
      </c>
      <c r="E27" s="156">
        <f>IF(C27&gt;0,VLOOKUP(C27,Oppslag!B:F,5,FALSE),0)</f>
        <v>0</v>
      </c>
      <c r="F27" s="157">
        <f>IF(E27&gt;0,VLOOKUP(E27,Oppslag!$S$14:$V$27,2,FALSE),0)</f>
        <v>0</v>
      </c>
      <c r="G27" s="157">
        <f>IF(E27&gt;0,VLOOKUP(E27,Oppslag!$S$14:$V$27,3,FALSE),0)</f>
        <v>0</v>
      </c>
      <c r="H27" s="23"/>
      <c r="I27" s="158">
        <f t="shared" si="19"/>
        <v>0</v>
      </c>
      <c r="J27" s="23"/>
      <c r="K27" s="158">
        <f t="shared" si="20"/>
        <v>0</v>
      </c>
      <c r="L27" s="23"/>
      <c r="M27" s="158">
        <f t="shared" si="21"/>
        <v>0</v>
      </c>
      <c r="N27" s="23"/>
      <c r="O27" s="158">
        <f t="shared" si="22"/>
        <v>0</v>
      </c>
      <c r="P27" s="23"/>
      <c r="Q27" s="158">
        <f t="shared" si="23"/>
        <v>0</v>
      </c>
      <c r="R27" s="23"/>
      <c r="S27" s="158">
        <f t="shared" si="24"/>
        <v>0</v>
      </c>
      <c r="T27" s="23"/>
      <c r="U27" s="158">
        <f t="shared" si="25"/>
        <v>0</v>
      </c>
      <c r="V27" s="23"/>
      <c r="W27" s="158">
        <f t="shared" si="26"/>
        <v>0</v>
      </c>
      <c r="X27" s="23"/>
      <c r="Y27" s="158">
        <f t="shared" si="27"/>
        <v>0</v>
      </c>
      <c r="Z27" s="23"/>
      <c r="AA27" s="158">
        <f t="shared" si="28"/>
        <v>0</v>
      </c>
      <c r="AB27" s="23"/>
      <c r="AC27" s="158">
        <f t="shared" si="29"/>
        <v>0</v>
      </c>
      <c r="AD27" s="23"/>
      <c r="AE27" s="158">
        <f t="shared" si="30"/>
        <v>0</v>
      </c>
      <c r="AF27" s="158">
        <f t="shared" si="15"/>
        <v>0</v>
      </c>
      <c r="AG27" s="158">
        <f t="shared" si="16"/>
        <v>0</v>
      </c>
      <c r="AI27" s="177">
        <f t="shared" si="17"/>
        <v>0</v>
      </c>
      <c r="AJ27">
        <f t="shared" si="18"/>
        <v>0</v>
      </c>
      <c r="AK27" t="b">
        <f>IF(B27='5. Oppsummering Budsjett'!$C$10,IF(AI27&gt;0,IF($H$52&gt;0,AI27*(H27/$H$52),AI27*(J27/$J$52)),0))</f>
        <v>0</v>
      </c>
    </row>
    <row r="28" spans="1:37" hidden="1" outlineLevel="1" x14ac:dyDescent="0.25">
      <c r="A28" s="20" t="s">
        <v>112</v>
      </c>
      <c r="B28" s="20"/>
      <c r="C28" s="20"/>
      <c r="D28" s="21">
        <f>IF(E28&gt;0,VLOOKUP(E28,Oppslag!$S$14:$W$27,5,FALSE),0)</f>
        <v>0</v>
      </c>
      <c r="E28" s="156">
        <f>IF(C28&gt;0,VLOOKUP(C28,Oppslag!B:F,5,FALSE),0)</f>
        <v>0</v>
      </c>
      <c r="F28" s="157">
        <f>IF(E28&gt;0,VLOOKUP(E28,Oppslag!$S$14:$V$27,2,FALSE),0)</f>
        <v>0</v>
      </c>
      <c r="G28" s="157">
        <f>IF(E28&gt;0,VLOOKUP(E28,Oppslag!$S$14:$V$27,3,FALSE),0)</f>
        <v>0</v>
      </c>
      <c r="H28" s="23"/>
      <c r="I28" s="158">
        <f t="shared" si="19"/>
        <v>0</v>
      </c>
      <c r="J28" s="23"/>
      <c r="K28" s="158">
        <f t="shared" si="20"/>
        <v>0</v>
      </c>
      <c r="L28" s="23"/>
      <c r="M28" s="158">
        <f t="shared" si="21"/>
        <v>0</v>
      </c>
      <c r="N28" s="23"/>
      <c r="O28" s="158">
        <f t="shared" si="22"/>
        <v>0</v>
      </c>
      <c r="P28" s="23"/>
      <c r="Q28" s="158">
        <f t="shared" si="23"/>
        <v>0</v>
      </c>
      <c r="R28" s="23"/>
      <c r="S28" s="158">
        <f t="shared" si="24"/>
        <v>0</v>
      </c>
      <c r="T28" s="23"/>
      <c r="U28" s="158">
        <f t="shared" si="25"/>
        <v>0</v>
      </c>
      <c r="V28" s="23"/>
      <c r="W28" s="158">
        <f t="shared" si="26"/>
        <v>0</v>
      </c>
      <c r="X28" s="23"/>
      <c r="Y28" s="158">
        <f t="shared" si="27"/>
        <v>0</v>
      </c>
      <c r="Z28" s="23"/>
      <c r="AA28" s="158">
        <f t="shared" si="28"/>
        <v>0</v>
      </c>
      <c r="AB28" s="23"/>
      <c r="AC28" s="158">
        <f t="shared" si="29"/>
        <v>0</v>
      </c>
      <c r="AD28" s="23"/>
      <c r="AE28" s="158">
        <f t="shared" si="30"/>
        <v>0</v>
      </c>
      <c r="AF28" s="158">
        <f t="shared" si="15"/>
        <v>0</v>
      </c>
      <c r="AG28" s="158">
        <f t="shared" si="16"/>
        <v>0</v>
      </c>
      <c r="AI28" s="177">
        <f t="shared" si="17"/>
        <v>0</v>
      </c>
      <c r="AJ28">
        <f t="shared" si="18"/>
        <v>0</v>
      </c>
      <c r="AK28" t="b">
        <f>IF(B28='5. Oppsummering Budsjett'!$C$10,IF(AI28&gt;0,IF($H$52&gt;0,AI28*(H28/$H$52),AI28*(J28/$J$52)),0))</f>
        <v>0</v>
      </c>
    </row>
    <row r="29" spans="1:37" hidden="1" outlineLevel="1" x14ac:dyDescent="0.25">
      <c r="A29" s="20" t="s">
        <v>482</v>
      </c>
      <c r="B29" s="20"/>
      <c r="C29" s="20"/>
      <c r="D29" s="21">
        <f>IF(E29&gt;0,VLOOKUP(E29,Oppslag!$S$14:$W$27,5,FALSE),0)</f>
        <v>0</v>
      </c>
      <c r="E29" s="156">
        <f>IF(C29&gt;0,VLOOKUP(C29,Oppslag!B:F,5,FALSE),0)</f>
        <v>0</v>
      </c>
      <c r="F29" s="157">
        <f>IF(E29&gt;0,VLOOKUP(E29,Oppslag!$S$14:$V$27,2,FALSE),0)</f>
        <v>0</v>
      </c>
      <c r="G29" s="157">
        <f>IF(E29&gt;0,VLOOKUP(E29,Oppslag!$S$14:$V$27,3,FALSE),0)</f>
        <v>0</v>
      </c>
      <c r="H29" s="23"/>
      <c r="I29" s="158">
        <f t="shared" si="19"/>
        <v>0</v>
      </c>
      <c r="J29" s="23"/>
      <c r="K29" s="158">
        <f t="shared" si="20"/>
        <v>0</v>
      </c>
      <c r="L29" s="23"/>
      <c r="M29" s="158">
        <f t="shared" si="21"/>
        <v>0</v>
      </c>
      <c r="N29" s="23"/>
      <c r="O29" s="158">
        <f t="shared" si="22"/>
        <v>0</v>
      </c>
      <c r="P29" s="23"/>
      <c r="Q29" s="158">
        <f t="shared" si="23"/>
        <v>0</v>
      </c>
      <c r="R29" s="23"/>
      <c r="S29" s="158">
        <f t="shared" si="24"/>
        <v>0</v>
      </c>
      <c r="T29" s="23"/>
      <c r="U29" s="158">
        <f t="shared" si="25"/>
        <v>0</v>
      </c>
      <c r="V29" s="23"/>
      <c r="W29" s="158">
        <f t="shared" si="26"/>
        <v>0</v>
      </c>
      <c r="X29" s="23"/>
      <c r="Y29" s="158">
        <f t="shared" si="27"/>
        <v>0</v>
      </c>
      <c r="Z29" s="23"/>
      <c r="AA29" s="158">
        <f t="shared" si="28"/>
        <v>0</v>
      </c>
      <c r="AB29" s="23"/>
      <c r="AC29" s="158">
        <f t="shared" si="29"/>
        <v>0</v>
      </c>
      <c r="AD29" s="23"/>
      <c r="AE29" s="158">
        <f t="shared" si="30"/>
        <v>0</v>
      </c>
      <c r="AF29" s="158">
        <f t="shared" si="15"/>
        <v>0</v>
      </c>
      <c r="AG29" s="158">
        <f t="shared" si="16"/>
        <v>0</v>
      </c>
      <c r="AI29" s="177">
        <f t="shared" si="17"/>
        <v>0</v>
      </c>
      <c r="AJ29">
        <f t="shared" si="18"/>
        <v>0</v>
      </c>
      <c r="AK29" t="b">
        <f>IF(B29='5. Oppsummering Budsjett'!$C$10,IF(AI29&gt;0,IF($H$52&gt;0,AI29*(H29/$H$52),AI29*(J29/$J$52)),0))</f>
        <v>0</v>
      </c>
    </row>
    <row r="30" spans="1:37" hidden="1" outlineLevel="1" x14ac:dyDescent="0.25">
      <c r="A30" s="20" t="s">
        <v>483</v>
      </c>
      <c r="B30" s="20"/>
      <c r="C30" s="20"/>
      <c r="D30" s="21">
        <f>IF(E30&gt;0,VLOOKUP(E30,Oppslag!$S$14:$W$27,5,FALSE),0)</f>
        <v>0</v>
      </c>
      <c r="E30" s="156">
        <f>IF(C30&gt;0,VLOOKUP(C30,Oppslag!B:F,5,FALSE),0)</f>
        <v>0</v>
      </c>
      <c r="F30" s="157">
        <f>IF(E30&gt;0,VLOOKUP(E30,Oppslag!$S$14:$V$27,2,FALSE),0)</f>
        <v>0</v>
      </c>
      <c r="G30" s="157">
        <f>IF(E30&gt;0,VLOOKUP(E30,Oppslag!$S$14:$V$27,3,FALSE),0)</f>
        <v>0</v>
      </c>
      <c r="H30" s="23"/>
      <c r="I30" s="158">
        <f t="shared" si="19"/>
        <v>0</v>
      </c>
      <c r="J30" s="23"/>
      <c r="K30" s="158">
        <f t="shared" si="20"/>
        <v>0</v>
      </c>
      <c r="L30" s="23"/>
      <c r="M30" s="158">
        <f t="shared" si="21"/>
        <v>0</v>
      </c>
      <c r="N30" s="23"/>
      <c r="O30" s="158">
        <f t="shared" si="22"/>
        <v>0</v>
      </c>
      <c r="P30" s="23"/>
      <c r="Q30" s="158">
        <f t="shared" si="23"/>
        <v>0</v>
      </c>
      <c r="R30" s="23"/>
      <c r="S30" s="158">
        <f t="shared" si="24"/>
        <v>0</v>
      </c>
      <c r="T30" s="23"/>
      <c r="U30" s="158">
        <f t="shared" si="25"/>
        <v>0</v>
      </c>
      <c r="V30" s="23"/>
      <c r="W30" s="158">
        <f t="shared" si="26"/>
        <v>0</v>
      </c>
      <c r="X30" s="23"/>
      <c r="Y30" s="158">
        <f t="shared" si="27"/>
        <v>0</v>
      </c>
      <c r="Z30" s="23"/>
      <c r="AA30" s="158">
        <f t="shared" si="28"/>
        <v>0</v>
      </c>
      <c r="AB30" s="23"/>
      <c r="AC30" s="158">
        <f t="shared" si="29"/>
        <v>0</v>
      </c>
      <c r="AD30" s="23"/>
      <c r="AE30" s="158">
        <f t="shared" si="30"/>
        <v>0</v>
      </c>
      <c r="AF30" s="158">
        <f t="shared" si="15"/>
        <v>0</v>
      </c>
      <c r="AG30" s="158">
        <f t="shared" si="16"/>
        <v>0</v>
      </c>
      <c r="AI30" s="177">
        <f t="shared" si="17"/>
        <v>0</v>
      </c>
      <c r="AJ30">
        <f t="shared" si="18"/>
        <v>0</v>
      </c>
      <c r="AK30" t="b">
        <f>IF(B30='5. Oppsummering Budsjett'!$C$10,IF(AI30&gt;0,IF($H$52&gt;0,AI30*(H30/$H$52),AI30*(J30/$J$52)),0))</f>
        <v>0</v>
      </c>
    </row>
    <row r="31" spans="1:37" hidden="1" outlineLevel="1" x14ac:dyDescent="0.25">
      <c r="A31" s="20" t="s">
        <v>484</v>
      </c>
      <c r="B31" s="20"/>
      <c r="C31" s="20"/>
      <c r="D31" s="21">
        <f>IF(E31&gt;0,VLOOKUP(E31,Oppslag!$S$14:$W$27,5,FALSE),0)</f>
        <v>0</v>
      </c>
      <c r="E31" s="156">
        <f>IF(C31&gt;0,VLOOKUP(C31,Oppslag!B:F,5,FALSE),0)</f>
        <v>0</v>
      </c>
      <c r="F31" s="157">
        <f>IF(E31&gt;0,VLOOKUP(E31,Oppslag!$S$14:$V$27,2,FALSE),0)</f>
        <v>0</v>
      </c>
      <c r="G31" s="157">
        <f>IF(E31&gt;0,VLOOKUP(E31,Oppslag!$S$14:$V$27,3,FALSE),0)</f>
        <v>0</v>
      </c>
      <c r="H31" s="23"/>
      <c r="I31" s="158">
        <f t="shared" si="19"/>
        <v>0</v>
      </c>
      <c r="J31" s="23"/>
      <c r="K31" s="158">
        <f t="shared" si="20"/>
        <v>0</v>
      </c>
      <c r="L31" s="23"/>
      <c r="M31" s="158">
        <f t="shared" si="21"/>
        <v>0</v>
      </c>
      <c r="N31" s="23"/>
      <c r="O31" s="158">
        <f t="shared" si="22"/>
        <v>0</v>
      </c>
      <c r="P31" s="23"/>
      <c r="Q31" s="158">
        <f t="shared" si="23"/>
        <v>0</v>
      </c>
      <c r="R31" s="23"/>
      <c r="S31" s="158">
        <f t="shared" si="24"/>
        <v>0</v>
      </c>
      <c r="T31" s="23"/>
      <c r="U31" s="158">
        <f t="shared" si="25"/>
        <v>0</v>
      </c>
      <c r="V31" s="23"/>
      <c r="W31" s="158">
        <f t="shared" si="26"/>
        <v>0</v>
      </c>
      <c r="X31" s="23"/>
      <c r="Y31" s="158">
        <f t="shared" si="27"/>
        <v>0</v>
      </c>
      <c r="Z31" s="23"/>
      <c r="AA31" s="158">
        <f t="shared" si="28"/>
        <v>0</v>
      </c>
      <c r="AB31" s="23"/>
      <c r="AC31" s="158">
        <f t="shared" si="29"/>
        <v>0</v>
      </c>
      <c r="AD31" s="23"/>
      <c r="AE31" s="158">
        <f t="shared" si="30"/>
        <v>0</v>
      </c>
      <c r="AF31" s="158">
        <f t="shared" si="15"/>
        <v>0</v>
      </c>
      <c r="AG31" s="158">
        <f t="shared" si="16"/>
        <v>0</v>
      </c>
      <c r="AI31" s="177">
        <f t="shared" si="17"/>
        <v>0</v>
      </c>
      <c r="AJ31">
        <f t="shared" si="18"/>
        <v>0</v>
      </c>
      <c r="AK31" t="b">
        <f>IF(B31='5. Oppsummering Budsjett'!$C$10,IF(AI31&gt;0,IF($H$52&gt;0,AI31*(H31/$H$52),AI31*(J31/$J$52)),0))</f>
        <v>0</v>
      </c>
    </row>
    <row r="32" spans="1:37" hidden="1" outlineLevel="1" x14ac:dyDescent="0.25">
      <c r="A32" s="20" t="s">
        <v>485</v>
      </c>
      <c r="B32" s="20"/>
      <c r="C32" s="20"/>
      <c r="D32" s="21">
        <f>IF(E32&gt;0,VLOOKUP(E32,Oppslag!$S$14:$W$27,5,FALSE),0)</f>
        <v>0</v>
      </c>
      <c r="E32" s="156">
        <f>IF(C32&gt;0,VLOOKUP(C32,Oppslag!B:F,5,FALSE),0)</f>
        <v>0</v>
      </c>
      <c r="F32" s="157">
        <f>IF(E32&gt;0,VLOOKUP(E32,Oppslag!$S$14:$V$27,2,FALSE),0)</f>
        <v>0</v>
      </c>
      <c r="G32" s="157">
        <f>IF(E32&gt;0,VLOOKUP(E32,Oppslag!$S$14:$V$27,3,FALSE),0)</f>
        <v>0</v>
      </c>
      <c r="H32" s="23"/>
      <c r="I32" s="158">
        <f t="shared" si="19"/>
        <v>0</v>
      </c>
      <c r="J32" s="23"/>
      <c r="K32" s="158">
        <f t="shared" si="20"/>
        <v>0</v>
      </c>
      <c r="L32" s="23"/>
      <c r="M32" s="158">
        <f t="shared" si="21"/>
        <v>0</v>
      </c>
      <c r="N32" s="23"/>
      <c r="O32" s="158">
        <f t="shared" si="22"/>
        <v>0</v>
      </c>
      <c r="P32" s="23"/>
      <c r="Q32" s="158">
        <f t="shared" si="23"/>
        <v>0</v>
      </c>
      <c r="R32" s="23"/>
      <c r="S32" s="158">
        <f t="shared" si="24"/>
        <v>0</v>
      </c>
      <c r="T32" s="23"/>
      <c r="U32" s="158">
        <f t="shared" si="25"/>
        <v>0</v>
      </c>
      <c r="V32" s="23"/>
      <c r="W32" s="158">
        <f t="shared" si="26"/>
        <v>0</v>
      </c>
      <c r="X32" s="23"/>
      <c r="Y32" s="158">
        <f t="shared" si="27"/>
        <v>0</v>
      </c>
      <c r="Z32" s="23"/>
      <c r="AA32" s="158">
        <f t="shared" si="28"/>
        <v>0</v>
      </c>
      <c r="AB32" s="23"/>
      <c r="AC32" s="158">
        <f t="shared" si="29"/>
        <v>0</v>
      </c>
      <c r="AD32" s="23"/>
      <c r="AE32" s="158">
        <f t="shared" si="30"/>
        <v>0</v>
      </c>
      <c r="AF32" s="158">
        <f t="shared" si="15"/>
        <v>0</v>
      </c>
      <c r="AG32" s="158">
        <f t="shared" si="16"/>
        <v>0</v>
      </c>
      <c r="AI32" s="177">
        <f t="shared" si="17"/>
        <v>0</v>
      </c>
      <c r="AJ32">
        <f t="shared" si="18"/>
        <v>0</v>
      </c>
      <c r="AK32" t="b">
        <f>IF(B32='5. Oppsummering Budsjett'!$C$10,IF(AI32&gt;0,IF($H$52&gt;0,AI32*(H32/$H$52),AI32*(J32/$J$52)),0))</f>
        <v>0</v>
      </c>
    </row>
    <row r="33" spans="1:37" hidden="1" outlineLevel="1" x14ac:dyDescent="0.25">
      <c r="A33" s="20" t="s">
        <v>486</v>
      </c>
      <c r="B33" s="20"/>
      <c r="C33" s="20"/>
      <c r="D33" s="21">
        <f>IF(E33&gt;0,VLOOKUP(E33,Oppslag!$S$14:$W$27,5,FALSE),0)</f>
        <v>0</v>
      </c>
      <c r="E33" s="156">
        <f>IF(C33&gt;0,VLOOKUP(C33,Oppslag!B:F,5,FALSE),0)</f>
        <v>0</v>
      </c>
      <c r="F33" s="157">
        <f>IF(E33&gt;0,VLOOKUP(E33,Oppslag!$S$14:$V$27,2,FALSE),0)</f>
        <v>0</v>
      </c>
      <c r="G33" s="157">
        <f>IF(E33&gt;0,VLOOKUP(E33,Oppslag!$S$14:$V$27,3,FALSE),0)</f>
        <v>0</v>
      </c>
      <c r="H33" s="23"/>
      <c r="I33" s="158">
        <f t="shared" si="19"/>
        <v>0</v>
      </c>
      <c r="J33" s="23"/>
      <c r="K33" s="158">
        <f t="shared" si="20"/>
        <v>0</v>
      </c>
      <c r="L33" s="23"/>
      <c r="M33" s="158">
        <f t="shared" si="21"/>
        <v>0</v>
      </c>
      <c r="N33" s="23"/>
      <c r="O33" s="158">
        <f t="shared" si="22"/>
        <v>0</v>
      </c>
      <c r="P33" s="23"/>
      <c r="Q33" s="158">
        <f t="shared" si="23"/>
        <v>0</v>
      </c>
      <c r="R33" s="23"/>
      <c r="S33" s="158">
        <f t="shared" si="24"/>
        <v>0</v>
      </c>
      <c r="T33" s="23"/>
      <c r="U33" s="158">
        <f t="shared" si="25"/>
        <v>0</v>
      </c>
      <c r="V33" s="23"/>
      <c r="W33" s="158">
        <f t="shared" si="26"/>
        <v>0</v>
      </c>
      <c r="X33" s="23"/>
      <c r="Y33" s="158">
        <f t="shared" si="27"/>
        <v>0</v>
      </c>
      <c r="Z33" s="23"/>
      <c r="AA33" s="158">
        <f t="shared" si="28"/>
        <v>0</v>
      </c>
      <c r="AB33" s="23"/>
      <c r="AC33" s="158">
        <f t="shared" si="29"/>
        <v>0</v>
      </c>
      <c r="AD33" s="23"/>
      <c r="AE33" s="158">
        <f t="shared" si="30"/>
        <v>0</v>
      </c>
      <c r="AF33" s="158">
        <f t="shared" si="15"/>
        <v>0</v>
      </c>
      <c r="AG33" s="158">
        <f t="shared" si="16"/>
        <v>0</v>
      </c>
      <c r="AI33" s="177">
        <f t="shared" si="17"/>
        <v>0</v>
      </c>
      <c r="AJ33">
        <f t="shared" si="18"/>
        <v>0</v>
      </c>
      <c r="AK33" t="b">
        <f>IF(B33='5. Oppsummering Budsjett'!$C$10,IF(AI33&gt;0,IF($H$52&gt;0,AI33*(H33/$H$52),AI33*(J33/$J$52)),0))</f>
        <v>0</v>
      </c>
    </row>
    <row r="34" spans="1:37" hidden="1" outlineLevel="1" x14ac:dyDescent="0.25">
      <c r="A34" s="20" t="s">
        <v>487</v>
      </c>
      <c r="B34" s="20"/>
      <c r="C34" s="20"/>
      <c r="D34" s="21">
        <f>IF(E34&gt;0,VLOOKUP(E34,Oppslag!$S$14:$W$27,5,FALSE),0)</f>
        <v>0</v>
      </c>
      <c r="E34" s="156">
        <f>IF(C34&gt;0,VLOOKUP(C34,Oppslag!B:F,5,FALSE),0)</f>
        <v>0</v>
      </c>
      <c r="F34" s="157">
        <f>IF(E34&gt;0,VLOOKUP(E34,Oppslag!$S$14:$V$27,2,FALSE),0)</f>
        <v>0</v>
      </c>
      <c r="G34" s="157">
        <f>IF(E34&gt;0,VLOOKUP(E34,Oppslag!$S$14:$V$27,3,FALSE),0)</f>
        <v>0</v>
      </c>
      <c r="H34" s="23"/>
      <c r="I34" s="158">
        <f t="shared" si="19"/>
        <v>0</v>
      </c>
      <c r="J34" s="23"/>
      <c r="K34" s="158">
        <f t="shared" si="20"/>
        <v>0</v>
      </c>
      <c r="L34" s="23"/>
      <c r="M34" s="158">
        <f t="shared" si="21"/>
        <v>0</v>
      </c>
      <c r="N34" s="23"/>
      <c r="O34" s="158">
        <f t="shared" si="22"/>
        <v>0</v>
      </c>
      <c r="P34" s="23"/>
      <c r="Q34" s="158">
        <f t="shared" si="23"/>
        <v>0</v>
      </c>
      <c r="R34" s="23"/>
      <c r="S34" s="158">
        <f t="shared" si="24"/>
        <v>0</v>
      </c>
      <c r="T34" s="23"/>
      <c r="U34" s="158">
        <f t="shared" si="25"/>
        <v>0</v>
      </c>
      <c r="V34" s="23"/>
      <c r="W34" s="158">
        <f t="shared" si="26"/>
        <v>0</v>
      </c>
      <c r="X34" s="23"/>
      <c r="Y34" s="158">
        <f t="shared" si="27"/>
        <v>0</v>
      </c>
      <c r="Z34" s="23"/>
      <c r="AA34" s="158">
        <f t="shared" si="28"/>
        <v>0</v>
      </c>
      <c r="AB34" s="23"/>
      <c r="AC34" s="158">
        <f t="shared" si="29"/>
        <v>0</v>
      </c>
      <c r="AD34" s="23"/>
      <c r="AE34" s="158">
        <f t="shared" si="30"/>
        <v>0</v>
      </c>
      <c r="AF34" s="158">
        <f t="shared" si="15"/>
        <v>0</v>
      </c>
      <c r="AG34" s="158">
        <f t="shared" si="16"/>
        <v>0</v>
      </c>
      <c r="AI34" s="177">
        <f t="shared" si="17"/>
        <v>0</v>
      </c>
      <c r="AJ34">
        <f t="shared" si="18"/>
        <v>0</v>
      </c>
      <c r="AK34" t="b">
        <f>IF(B34='5. Oppsummering Budsjett'!$C$10,IF(AI34&gt;0,IF($H$52&gt;0,AI34*(H34/$H$52),AI34*(J34/$J$52)),0))</f>
        <v>0</v>
      </c>
    </row>
    <row r="35" spans="1:37" hidden="1" outlineLevel="1" x14ac:dyDescent="0.25">
      <c r="A35" s="20" t="s">
        <v>488</v>
      </c>
      <c r="B35" s="20"/>
      <c r="C35" s="20"/>
      <c r="D35" s="21">
        <f>IF(E35&gt;0,VLOOKUP(E35,Oppslag!$S$14:$W$27,5,FALSE),0)</f>
        <v>0</v>
      </c>
      <c r="E35" s="156">
        <f>IF(C35&gt;0,VLOOKUP(C35,Oppslag!B:F,5,FALSE),0)</f>
        <v>0</v>
      </c>
      <c r="F35" s="157">
        <f>IF(E35&gt;0,VLOOKUP(E35,Oppslag!$S$14:$V$27,2,FALSE),0)</f>
        <v>0</v>
      </c>
      <c r="G35" s="157">
        <f>IF(E35&gt;0,VLOOKUP(E35,Oppslag!$S$14:$V$27,3,FALSE),0)</f>
        <v>0</v>
      </c>
      <c r="H35" s="23"/>
      <c r="I35" s="158">
        <f t="shared" si="19"/>
        <v>0</v>
      </c>
      <c r="J35" s="23"/>
      <c r="K35" s="158">
        <f t="shared" si="20"/>
        <v>0</v>
      </c>
      <c r="L35" s="23"/>
      <c r="M35" s="158">
        <f t="shared" si="21"/>
        <v>0</v>
      </c>
      <c r="N35" s="23"/>
      <c r="O35" s="158">
        <f t="shared" si="22"/>
        <v>0</v>
      </c>
      <c r="P35" s="23"/>
      <c r="Q35" s="158">
        <f t="shared" si="23"/>
        <v>0</v>
      </c>
      <c r="R35" s="23"/>
      <c r="S35" s="158">
        <f t="shared" si="24"/>
        <v>0</v>
      </c>
      <c r="T35" s="23"/>
      <c r="U35" s="158">
        <f t="shared" si="25"/>
        <v>0</v>
      </c>
      <c r="V35" s="23"/>
      <c r="W35" s="158">
        <f t="shared" si="26"/>
        <v>0</v>
      </c>
      <c r="X35" s="23"/>
      <c r="Y35" s="158">
        <f t="shared" si="27"/>
        <v>0</v>
      </c>
      <c r="Z35" s="23"/>
      <c r="AA35" s="158">
        <f t="shared" si="28"/>
        <v>0</v>
      </c>
      <c r="AB35" s="23"/>
      <c r="AC35" s="158">
        <f t="shared" si="29"/>
        <v>0</v>
      </c>
      <c r="AD35" s="23"/>
      <c r="AE35" s="158">
        <f t="shared" si="30"/>
        <v>0</v>
      </c>
      <c r="AF35" s="158">
        <f t="shared" si="15"/>
        <v>0</v>
      </c>
      <c r="AG35" s="158">
        <f t="shared" si="16"/>
        <v>0</v>
      </c>
      <c r="AI35" s="177">
        <f t="shared" si="17"/>
        <v>0</v>
      </c>
      <c r="AJ35">
        <f t="shared" si="18"/>
        <v>0</v>
      </c>
      <c r="AK35" t="b">
        <f>IF(B35='5. Oppsummering Budsjett'!$C$10,IF(AI35&gt;0,IF($H$52&gt;0,AI35*(H35/$H$52),AI35*(J35/$J$52)),0))</f>
        <v>0</v>
      </c>
    </row>
    <row r="36" spans="1:37" hidden="1" outlineLevel="1" x14ac:dyDescent="0.25">
      <c r="A36" s="20" t="s">
        <v>489</v>
      </c>
      <c r="B36" s="20"/>
      <c r="C36" s="20"/>
      <c r="D36" s="21">
        <f>IF(E36&gt;0,VLOOKUP(E36,Oppslag!$S$14:$W$27,5,FALSE),0)</f>
        <v>0</v>
      </c>
      <c r="E36" s="156">
        <f>IF(C36&gt;0,VLOOKUP(C36,Oppslag!B:F,5,FALSE),0)</f>
        <v>0</v>
      </c>
      <c r="F36" s="157">
        <f>IF(E36&gt;0,VLOOKUP(E36,Oppslag!$S$14:$V$27,2,FALSE),0)</f>
        <v>0</v>
      </c>
      <c r="G36" s="157">
        <f>IF(E36&gt;0,VLOOKUP(E36,Oppslag!$S$14:$V$27,3,FALSE),0)</f>
        <v>0</v>
      </c>
      <c r="H36" s="23"/>
      <c r="I36" s="158">
        <f t="shared" si="19"/>
        <v>0</v>
      </c>
      <c r="J36" s="23"/>
      <c r="K36" s="158">
        <f t="shared" si="20"/>
        <v>0</v>
      </c>
      <c r="L36" s="23"/>
      <c r="M36" s="158">
        <f t="shared" si="21"/>
        <v>0</v>
      </c>
      <c r="N36" s="23"/>
      <c r="O36" s="158">
        <f t="shared" si="22"/>
        <v>0</v>
      </c>
      <c r="P36" s="23"/>
      <c r="Q36" s="158">
        <f t="shared" si="23"/>
        <v>0</v>
      </c>
      <c r="R36" s="23"/>
      <c r="S36" s="158">
        <f t="shared" si="24"/>
        <v>0</v>
      </c>
      <c r="T36" s="23"/>
      <c r="U36" s="158">
        <f t="shared" si="25"/>
        <v>0</v>
      </c>
      <c r="V36" s="23"/>
      <c r="W36" s="158">
        <f t="shared" si="26"/>
        <v>0</v>
      </c>
      <c r="X36" s="23"/>
      <c r="Y36" s="158">
        <f t="shared" si="27"/>
        <v>0</v>
      </c>
      <c r="Z36" s="23"/>
      <c r="AA36" s="158">
        <f t="shared" si="28"/>
        <v>0</v>
      </c>
      <c r="AB36" s="23"/>
      <c r="AC36" s="158">
        <f t="shared" si="29"/>
        <v>0</v>
      </c>
      <c r="AD36" s="23"/>
      <c r="AE36" s="158">
        <f t="shared" si="30"/>
        <v>0</v>
      </c>
      <c r="AF36" s="158">
        <f t="shared" si="15"/>
        <v>0</v>
      </c>
      <c r="AG36" s="158">
        <f t="shared" si="16"/>
        <v>0</v>
      </c>
      <c r="AI36" s="177">
        <f t="shared" si="17"/>
        <v>0</v>
      </c>
      <c r="AJ36">
        <f t="shared" si="18"/>
        <v>0</v>
      </c>
      <c r="AK36" t="b">
        <f>IF(B36='5. Oppsummering Budsjett'!$C$10,IF(AI36&gt;0,IF($H$52&gt;0,AI36*(H36/$H$52),AI36*(J36/$J$52)),0))</f>
        <v>0</v>
      </c>
    </row>
    <row r="37" spans="1:37" hidden="1" outlineLevel="1" x14ac:dyDescent="0.25">
      <c r="A37" s="20" t="s">
        <v>490</v>
      </c>
      <c r="B37" s="20"/>
      <c r="C37" s="20"/>
      <c r="D37" s="21">
        <f>IF(E37&gt;0,VLOOKUP(E37,Oppslag!$S$14:$W$27,5,FALSE),0)</f>
        <v>0</v>
      </c>
      <c r="E37" s="156">
        <f>IF(C37&gt;0,VLOOKUP(C37,Oppslag!B:F,5,FALSE),0)</f>
        <v>0</v>
      </c>
      <c r="F37" s="157">
        <f>IF(E37&gt;0,VLOOKUP(E37,Oppslag!$S$14:$V$27,2,FALSE),0)</f>
        <v>0</v>
      </c>
      <c r="G37" s="157">
        <f>IF(E37&gt;0,VLOOKUP(E37,Oppslag!$S$14:$V$27,3,FALSE),0)</f>
        <v>0</v>
      </c>
      <c r="H37" s="23"/>
      <c r="I37" s="158">
        <f t="shared" si="19"/>
        <v>0</v>
      </c>
      <c r="J37" s="23"/>
      <c r="K37" s="158">
        <f t="shared" si="20"/>
        <v>0</v>
      </c>
      <c r="L37" s="23"/>
      <c r="M37" s="158">
        <f t="shared" si="21"/>
        <v>0</v>
      </c>
      <c r="N37" s="23"/>
      <c r="O37" s="158">
        <f t="shared" si="22"/>
        <v>0</v>
      </c>
      <c r="P37" s="23"/>
      <c r="Q37" s="158">
        <f t="shared" si="23"/>
        <v>0</v>
      </c>
      <c r="R37" s="23"/>
      <c r="S37" s="158">
        <f t="shared" si="24"/>
        <v>0</v>
      </c>
      <c r="T37" s="23"/>
      <c r="U37" s="158">
        <f t="shared" si="25"/>
        <v>0</v>
      </c>
      <c r="V37" s="23"/>
      <c r="W37" s="158">
        <f t="shared" si="26"/>
        <v>0</v>
      </c>
      <c r="X37" s="23"/>
      <c r="Y37" s="158">
        <f t="shared" si="27"/>
        <v>0</v>
      </c>
      <c r="Z37" s="23"/>
      <c r="AA37" s="158">
        <f t="shared" si="28"/>
        <v>0</v>
      </c>
      <c r="AB37" s="23"/>
      <c r="AC37" s="158">
        <f t="shared" si="29"/>
        <v>0</v>
      </c>
      <c r="AD37" s="23"/>
      <c r="AE37" s="158">
        <f t="shared" si="30"/>
        <v>0</v>
      </c>
      <c r="AF37" s="158">
        <f t="shared" si="15"/>
        <v>0</v>
      </c>
      <c r="AG37" s="158">
        <f t="shared" si="16"/>
        <v>0</v>
      </c>
      <c r="AI37" s="177">
        <f t="shared" si="17"/>
        <v>0</v>
      </c>
      <c r="AJ37">
        <f t="shared" si="18"/>
        <v>0</v>
      </c>
      <c r="AK37" t="b">
        <f>IF(B37='5. Oppsummering Budsjett'!$C$10,IF(AI37&gt;0,IF($H$52&gt;0,AI37*(H37/$H$52),AI37*(J37/$J$52)),0))</f>
        <v>0</v>
      </c>
    </row>
    <row r="38" spans="1:37" hidden="1" outlineLevel="1" x14ac:dyDescent="0.25">
      <c r="A38" s="20" t="s">
        <v>491</v>
      </c>
      <c r="B38" s="20"/>
      <c r="C38" s="20"/>
      <c r="D38" s="21">
        <f>IF(E38&gt;0,VLOOKUP(E38,Oppslag!$S$14:$W$27,5,FALSE),0)</f>
        <v>0</v>
      </c>
      <c r="E38" s="156">
        <f>IF(C38&gt;0,VLOOKUP(C38,Oppslag!B:F,5,FALSE),0)</f>
        <v>0</v>
      </c>
      <c r="F38" s="157">
        <f>IF(E38&gt;0,VLOOKUP(E38,Oppslag!$S$14:$V$27,2,FALSE),0)</f>
        <v>0</v>
      </c>
      <c r="G38" s="157">
        <f>IF(E38&gt;0,VLOOKUP(E38,Oppslag!$S$14:$V$27,3,FALSE),0)</f>
        <v>0</v>
      </c>
      <c r="H38" s="23"/>
      <c r="I38" s="158">
        <f t="shared" si="19"/>
        <v>0</v>
      </c>
      <c r="J38" s="23"/>
      <c r="K38" s="158">
        <f t="shared" si="20"/>
        <v>0</v>
      </c>
      <c r="L38" s="23"/>
      <c r="M38" s="158">
        <f t="shared" si="21"/>
        <v>0</v>
      </c>
      <c r="N38" s="23"/>
      <c r="O38" s="158">
        <f t="shared" si="22"/>
        <v>0</v>
      </c>
      <c r="P38" s="23"/>
      <c r="Q38" s="158">
        <f t="shared" si="23"/>
        <v>0</v>
      </c>
      <c r="R38" s="23"/>
      <c r="S38" s="158">
        <f t="shared" si="24"/>
        <v>0</v>
      </c>
      <c r="T38" s="23"/>
      <c r="U38" s="158">
        <f t="shared" si="25"/>
        <v>0</v>
      </c>
      <c r="V38" s="23"/>
      <c r="W38" s="158">
        <f t="shared" si="26"/>
        <v>0</v>
      </c>
      <c r="X38" s="23"/>
      <c r="Y38" s="158">
        <f t="shared" si="27"/>
        <v>0</v>
      </c>
      <c r="Z38" s="23"/>
      <c r="AA38" s="158">
        <f t="shared" si="28"/>
        <v>0</v>
      </c>
      <c r="AB38" s="23"/>
      <c r="AC38" s="158">
        <f t="shared" si="29"/>
        <v>0</v>
      </c>
      <c r="AD38" s="23"/>
      <c r="AE38" s="158">
        <f t="shared" si="30"/>
        <v>0</v>
      </c>
      <c r="AF38" s="158">
        <f t="shared" si="15"/>
        <v>0</v>
      </c>
      <c r="AG38" s="158">
        <f t="shared" si="16"/>
        <v>0</v>
      </c>
      <c r="AI38" s="177">
        <f t="shared" si="17"/>
        <v>0</v>
      </c>
      <c r="AJ38">
        <f t="shared" si="18"/>
        <v>0</v>
      </c>
      <c r="AK38" t="b">
        <f>IF(B38='5. Oppsummering Budsjett'!$C$10,IF(AI38&gt;0,IF($H$52&gt;0,AI38*(H38/$H$52),AI38*(J38/$J$52)),0))</f>
        <v>0</v>
      </c>
    </row>
    <row r="39" spans="1:37" hidden="1" outlineLevel="1" x14ac:dyDescent="0.25">
      <c r="A39" s="20" t="s">
        <v>492</v>
      </c>
      <c r="B39" s="20"/>
      <c r="C39" s="20"/>
      <c r="D39" s="21">
        <f>IF(E39&gt;0,VLOOKUP(E39,Oppslag!$S$14:$W$27,5,FALSE),0)</f>
        <v>0</v>
      </c>
      <c r="E39" s="156">
        <f>IF(C39&gt;0,VLOOKUP(C39,Oppslag!B:F,5,FALSE),0)</f>
        <v>0</v>
      </c>
      <c r="F39" s="157">
        <f>IF(E39&gt;0,VLOOKUP(E39,Oppslag!$S$14:$V$27,2,FALSE),0)</f>
        <v>0</v>
      </c>
      <c r="G39" s="157">
        <f>IF(E39&gt;0,VLOOKUP(E39,Oppslag!$S$14:$V$27,3,FALSE),0)</f>
        <v>0</v>
      </c>
      <c r="H39" s="23"/>
      <c r="I39" s="158">
        <f t="shared" si="19"/>
        <v>0</v>
      </c>
      <c r="J39" s="23"/>
      <c r="K39" s="158">
        <f t="shared" si="20"/>
        <v>0</v>
      </c>
      <c r="L39" s="23"/>
      <c r="M39" s="158">
        <f t="shared" si="21"/>
        <v>0</v>
      </c>
      <c r="N39" s="23"/>
      <c r="O39" s="158">
        <f t="shared" si="22"/>
        <v>0</v>
      </c>
      <c r="P39" s="23"/>
      <c r="Q39" s="158">
        <f t="shared" si="23"/>
        <v>0</v>
      </c>
      <c r="R39" s="23"/>
      <c r="S39" s="158">
        <f t="shared" si="24"/>
        <v>0</v>
      </c>
      <c r="T39" s="23"/>
      <c r="U39" s="158">
        <f t="shared" si="25"/>
        <v>0</v>
      </c>
      <c r="V39" s="23"/>
      <c r="W39" s="158">
        <f t="shared" si="26"/>
        <v>0</v>
      </c>
      <c r="X39" s="23"/>
      <c r="Y39" s="158">
        <f t="shared" si="27"/>
        <v>0</v>
      </c>
      <c r="Z39" s="23"/>
      <c r="AA39" s="158">
        <f t="shared" si="28"/>
        <v>0</v>
      </c>
      <c r="AB39" s="23"/>
      <c r="AC39" s="158">
        <f t="shared" si="29"/>
        <v>0</v>
      </c>
      <c r="AD39" s="23"/>
      <c r="AE39" s="158">
        <f t="shared" si="30"/>
        <v>0</v>
      </c>
      <c r="AF39" s="158">
        <f t="shared" si="15"/>
        <v>0</v>
      </c>
      <c r="AG39" s="158">
        <f t="shared" si="16"/>
        <v>0</v>
      </c>
      <c r="AI39" s="177">
        <f t="shared" si="17"/>
        <v>0</v>
      </c>
      <c r="AJ39">
        <f t="shared" si="18"/>
        <v>0</v>
      </c>
      <c r="AK39" t="b">
        <f>IF(B39='5. Oppsummering Budsjett'!$C$10,IF(AI39&gt;0,IF($H$52&gt;0,AI39*(H39/$H$52),AI39*(J39/$J$52)),0))</f>
        <v>0</v>
      </c>
    </row>
    <row r="40" spans="1:37" hidden="1" outlineLevel="1" x14ac:dyDescent="0.25">
      <c r="A40" s="20" t="s">
        <v>493</v>
      </c>
      <c r="B40" s="20"/>
      <c r="C40" s="20"/>
      <c r="D40" s="21">
        <f>IF(E40&gt;0,VLOOKUP(E40,Oppslag!$S$14:$W$27,5,FALSE),0)</f>
        <v>0</v>
      </c>
      <c r="E40" s="156">
        <f>IF(C40&gt;0,VLOOKUP(C40,Oppslag!B:F,5,FALSE),0)</f>
        <v>0</v>
      </c>
      <c r="F40" s="157">
        <f>IF(E40&gt;0,VLOOKUP(E40,Oppslag!$S$14:$V$27,2,FALSE),0)</f>
        <v>0</v>
      </c>
      <c r="G40" s="157">
        <f>IF(E40&gt;0,VLOOKUP(E40,Oppslag!$S$14:$V$27,3,FALSE),0)</f>
        <v>0</v>
      </c>
      <c r="H40" s="23"/>
      <c r="I40" s="158">
        <f t="shared" si="19"/>
        <v>0</v>
      </c>
      <c r="J40" s="23"/>
      <c r="K40" s="158">
        <f t="shared" si="20"/>
        <v>0</v>
      </c>
      <c r="L40" s="23"/>
      <c r="M40" s="158">
        <f t="shared" si="21"/>
        <v>0</v>
      </c>
      <c r="N40" s="23"/>
      <c r="O40" s="158">
        <f t="shared" si="22"/>
        <v>0</v>
      </c>
      <c r="P40" s="23"/>
      <c r="Q40" s="158">
        <f t="shared" si="23"/>
        <v>0</v>
      </c>
      <c r="R40" s="23"/>
      <c r="S40" s="158">
        <f t="shared" si="24"/>
        <v>0</v>
      </c>
      <c r="T40" s="23"/>
      <c r="U40" s="158">
        <f t="shared" si="25"/>
        <v>0</v>
      </c>
      <c r="V40" s="23"/>
      <c r="W40" s="158">
        <f t="shared" si="26"/>
        <v>0</v>
      </c>
      <c r="X40" s="23"/>
      <c r="Y40" s="158">
        <f t="shared" si="27"/>
        <v>0</v>
      </c>
      <c r="Z40" s="23"/>
      <c r="AA40" s="158">
        <f t="shared" si="28"/>
        <v>0</v>
      </c>
      <c r="AB40" s="23"/>
      <c r="AC40" s="158">
        <f t="shared" si="29"/>
        <v>0</v>
      </c>
      <c r="AD40" s="23"/>
      <c r="AE40" s="158">
        <f t="shared" si="30"/>
        <v>0</v>
      </c>
      <c r="AF40" s="158">
        <f t="shared" si="15"/>
        <v>0</v>
      </c>
      <c r="AG40" s="158">
        <f t="shared" si="16"/>
        <v>0</v>
      </c>
      <c r="AI40" s="177">
        <f t="shared" si="17"/>
        <v>0</v>
      </c>
      <c r="AJ40">
        <f t="shared" si="18"/>
        <v>0</v>
      </c>
      <c r="AK40" t="b">
        <f>IF(B40='5. Oppsummering Budsjett'!$C$10,IF(AI40&gt;0,IF($H$52&gt;0,AI40*(H40/$H$52),AI40*(J40/$J$52)),0))</f>
        <v>0</v>
      </c>
    </row>
    <row r="41" spans="1:37" hidden="1" outlineLevel="1" x14ac:dyDescent="0.25">
      <c r="A41" s="20" t="s">
        <v>494</v>
      </c>
      <c r="B41" s="20"/>
      <c r="C41" s="20"/>
      <c r="D41" s="21">
        <f>IF(E41&gt;0,VLOOKUP(E41,Oppslag!$S$14:$W$27,5,FALSE),0)</f>
        <v>0</v>
      </c>
      <c r="E41" s="156">
        <f>IF(C41&gt;0,VLOOKUP(C41,Oppslag!B:F,5,FALSE),0)</f>
        <v>0</v>
      </c>
      <c r="F41" s="157">
        <f>IF(E41&gt;0,VLOOKUP(E41,Oppslag!$S$14:$V$27,2,FALSE),0)</f>
        <v>0</v>
      </c>
      <c r="G41" s="157">
        <f>IF(E41&gt;0,VLOOKUP(E41,Oppslag!$S$14:$V$27,3,FALSE),0)</f>
        <v>0</v>
      </c>
      <c r="H41" s="23"/>
      <c r="I41" s="158">
        <f t="shared" si="19"/>
        <v>0</v>
      </c>
      <c r="J41" s="23"/>
      <c r="K41" s="158">
        <f t="shared" si="20"/>
        <v>0</v>
      </c>
      <c r="L41" s="23"/>
      <c r="M41" s="158">
        <f t="shared" si="21"/>
        <v>0</v>
      </c>
      <c r="N41" s="23"/>
      <c r="O41" s="158">
        <f t="shared" si="22"/>
        <v>0</v>
      </c>
      <c r="P41" s="23"/>
      <c r="Q41" s="158">
        <f t="shared" si="23"/>
        <v>0</v>
      </c>
      <c r="R41" s="23"/>
      <c r="S41" s="158">
        <f t="shared" si="24"/>
        <v>0</v>
      </c>
      <c r="T41" s="23"/>
      <c r="U41" s="158">
        <f t="shared" si="25"/>
        <v>0</v>
      </c>
      <c r="V41" s="23"/>
      <c r="W41" s="158">
        <f t="shared" si="26"/>
        <v>0</v>
      </c>
      <c r="X41" s="23"/>
      <c r="Y41" s="158">
        <f t="shared" si="27"/>
        <v>0</v>
      </c>
      <c r="Z41" s="23"/>
      <c r="AA41" s="158">
        <f t="shared" si="28"/>
        <v>0</v>
      </c>
      <c r="AB41" s="23"/>
      <c r="AC41" s="158">
        <f t="shared" si="29"/>
        <v>0</v>
      </c>
      <c r="AD41" s="23"/>
      <c r="AE41" s="158">
        <f t="shared" si="30"/>
        <v>0</v>
      </c>
      <c r="AF41" s="158">
        <f t="shared" si="15"/>
        <v>0</v>
      </c>
      <c r="AG41" s="158">
        <f t="shared" si="16"/>
        <v>0</v>
      </c>
      <c r="AI41" s="177">
        <f t="shared" si="17"/>
        <v>0</v>
      </c>
      <c r="AJ41">
        <f t="shared" si="18"/>
        <v>0</v>
      </c>
      <c r="AK41" t="b">
        <f>IF(B41='5. Oppsummering Budsjett'!$C$10,IF(AI41&gt;0,IF($H$52&gt;0,AI41*(H41/$H$52),AI41*(J41/$J$52)),0))</f>
        <v>0</v>
      </c>
    </row>
    <row r="42" spans="1:37" hidden="1" outlineLevel="1" x14ac:dyDescent="0.25">
      <c r="A42" s="20" t="s">
        <v>495</v>
      </c>
      <c r="B42" s="20"/>
      <c r="C42" s="20"/>
      <c r="D42" s="21">
        <f>IF(E42&gt;0,VLOOKUP(E42,Oppslag!$S$14:$W$27,5,FALSE),0)</f>
        <v>0</v>
      </c>
      <c r="E42" s="156">
        <f>IF(C42&gt;0,VLOOKUP(C42,Oppslag!B:F,5,FALSE),0)</f>
        <v>0</v>
      </c>
      <c r="F42" s="157">
        <f>IF(E42&gt;0,VLOOKUP(E42,Oppslag!$S$14:$V$27,2,FALSE),0)</f>
        <v>0</v>
      </c>
      <c r="G42" s="157">
        <f>IF(E42&gt;0,VLOOKUP(E42,Oppslag!$S$14:$V$27,3,FALSE),0)</f>
        <v>0</v>
      </c>
      <c r="H42" s="23"/>
      <c r="I42" s="158">
        <f t="shared" si="19"/>
        <v>0</v>
      </c>
      <c r="J42" s="23"/>
      <c r="K42" s="158">
        <f t="shared" si="20"/>
        <v>0</v>
      </c>
      <c r="L42" s="23"/>
      <c r="M42" s="158">
        <f t="shared" si="21"/>
        <v>0</v>
      </c>
      <c r="N42" s="23"/>
      <c r="O42" s="158">
        <f t="shared" si="22"/>
        <v>0</v>
      </c>
      <c r="P42" s="23"/>
      <c r="Q42" s="158">
        <f t="shared" si="23"/>
        <v>0</v>
      </c>
      <c r="R42" s="23"/>
      <c r="S42" s="158">
        <f t="shared" si="24"/>
        <v>0</v>
      </c>
      <c r="T42" s="23"/>
      <c r="U42" s="158">
        <f t="shared" si="25"/>
        <v>0</v>
      </c>
      <c r="V42" s="23"/>
      <c r="W42" s="158">
        <f t="shared" si="26"/>
        <v>0</v>
      </c>
      <c r="X42" s="23"/>
      <c r="Y42" s="158">
        <f t="shared" si="27"/>
        <v>0</v>
      </c>
      <c r="Z42" s="23"/>
      <c r="AA42" s="158">
        <f t="shared" si="28"/>
        <v>0</v>
      </c>
      <c r="AB42" s="23"/>
      <c r="AC42" s="158">
        <f t="shared" si="29"/>
        <v>0</v>
      </c>
      <c r="AD42" s="23"/>
      <c r="AE42" s="158">
        <f t="shared" si="30"/>
        <v>0</v>
      </c>
      <c r="AF42" s="158">
        <f t="shared" si="15"/>
        <v>0</v>
      </c>
      <c r="AG42" s="158">
        <f t="shared" si="16"/>
        <v>0</v>
      </c>
      <c r="AI42" s="177">
        <f t="shared" si="17"/>
        <v>0</v>
      </c>
      <c r="AJ42">
        <f t="shared" si="18"/>
        <v>0</v>
      </c>
      <c r="AK42" t="b">
        <f>IF(B42='5. Oppsummering Budsjett'!$C$10,IF(AI42&gt;0,IF($H$52&gt;0,AI42*(H42/$H$52),AI42*(J42/$J$52)),0))</f>
        <v>0</v>
      </c>
    </row>
    <row r="43" spans="1:37" hidden="1" outlineLevel="1" x14ac:dyDescent="0.25">
      <c r="A43" s="20" t="s">
        <v>496</v>
      </c>
      <c r="B43" s="20"/>
      <c r="C43" s="20"/>
      <c r="D43" s="21">
        <f>IF(E43&gt;0,VLOOKUP(E43,Oppslag!$S$14:$W$27,5,FALSE),0)</f>
        <v>0</v>
      </c>
      <c r="E43" s="156">
        <f>IF(C43&gt;0,VLOOKUP(C43,Oppslag!B:F,5,FALSE),0)</f>
        <v>0</v>
      </c>
      <c r="F43" s="157">
        <f>IF(E43&gt;0,VLOOKUP(E43,Oppslag!$S$14:$V$27,2,FALSE),0)</f>
        <v>0</v>
      </c>
      <c r="G43" s="157">
        <f>IF(E43&gt;0,VLOOKUP(E43,Oppslag!$S$14:$V$27,3,FALSE),0)</f>
        <v>0</v>
      </c>
      <c r="H43" s="23"/>
      <c r="I43" s="158">
        <f t="shared" si="19"/>
        <v>0</v>
      </c>
      <c r="J43" s="23"/>
      <c r="K43" s="158">
        <f t="shared" si="20"/>
        <v>0</v>
      </c>
      <c r="L43" s="23"/>
      <c r="M43" s="158">
        <f t="shared" si="21"/>
        <v>0</v>
      </c>
      <c r="N43" s="23"/>
      <c r="O43" s="158">
        <f t="shared" si="22"/>
        <v>0</v>
      </c>
      <c r="P43" s="23"/>
      <c r="Q43" s="158">
        <f t="shared" si="23"/>
        <v>0</v>
      </c>
      <c r="R43" s="23"/>
      <c r="S43" s="158">
        <f t="shared" si="24"/>
        <v>0</v>
      </c>
      <c r="T43" s="23"/>
      <c r="U43" s="158">
        <f t="shared" si="25"/>
        <v>0</v>
      </c>
      <c r="V43" s="23"/>
      <c r="W43" s="158">
        <f t="shared" si="26"/>
        <v>0</v>
      </c>
      <c r="X43" s="23"/>
      <c r="Y43" s="158">
        <f t="shared" si="27"/>
        <v>0</v>
      </c>
      <c r="Z43" s="23"/>
      <c r="AA43" s="158">
        <f t="shared" si="28"/>
        <v>0</v>
      </c>
      <c r="AB43" s="23"/>
      <c r="AC43" s="158">
        <f t="shared" si="29"/>
        <v>0</v>
      </c>
      <c r="AD43" s="23"/>
      <c r="AE43" s="158">
        <f t="shared" si="30"/>
        <v>0</v>
      </c>
      <c r="AF43" s="158">
        <f t="shared" si="15"/>
        <v>0</v>
      </c>
      <c r="AG43" s="158">
        <f t="shared" si="16"/>
        <v>0</v>
      </c>
      <c r="AI43" s="177">
        <f t="shared" si="17"/>
        <v>0</v>
      </c>
      <c r="AJ43">
        <f t="shared" si="18"/>
        <v>0</v>
      </c>
      <c r="AK43" t="b">
        <f>IF(B43='5. Oppsummering Budsjett'!$C$10,IF(AI43&gt;0,IF($H$52&gt;0,AI43*(H43/$H$52),AI43*(J43/$J$52)),0))</f>
        <v>0</v>
      </c>
    </row>
    <row r="44" spans="1:37" hidden="1" outlineLevel="1" x14ac:dyDescent="0.25">
      <c r="A44" s="20" t="s">
        <v>497</v>
      </c>
      <c r="B44" s="20"/>
      <c r="C44" s="20"/>
      <c r="D44" s="21">
        <f>IF(E44&gt;0,VLOOKUP(E44,Oppslag!$S$14:$W$27,5,FALSE),0)</f>
        <v>0</v>
      </c>
      <c r="E44" s="156">
        <f>IF(C44&gt;0,VLOOKUP(C44,Oppslag!B:F,5,FALSE),0)</f>
        <v>0</v>
      </c>
      <c r="F44" s="157">
        <f>IF(E44&gt;0,VLOOKUP(E44,Oppslag!$S$14:$V$27,2,FALSE),0)</f>
        <v>0</v>
      </c>
      <c r="G44" s="157">
        <f>IF(E44&gt;0,VLOOKUP(E44,Oppslag!$S$14:$V$27,3,FALSE),0)</f>
        <v>0</v>
      </c>
      <c r="H44" s="23"/>
      <c r="I44" s="158">
        <f t="shared" si="19"/>
        <v>0</v>
      </c>
      <c r="J44" s="23"/>
      <c r="K44" s="158">
        <f t="shared" si="20"/>
        <v>0</v>
      </c>
      <c r="L44" s="23"/>
      <c r="M44" s="158">
        <f t="shared" si="21"/>
        <v>0</v>
      </c>
      <c r="N44" s="23"/>
      <c r="O44" s="158">
        <f t="shared" si="22"/>
        <v>0</v>
      </c>
      <c r="P44" s="23"/>
      <c r="Q44" s="158">
        <f t="shared" si="23"/>
        <v>0</v>
      </c>
      <c r="R44" s="23"/>
      <c r="S44" s="158">
        <f t="shared" si="24"/>
        <v>0</v>
      </c>
      <c r="T44" s="23"/>
      <c r="U44" s="158">
        <f t="shared" si="25"/>
        <v>0</v>
      </c>
      <c r="V44" s="23"/>
      <c r="W44" s="158">
        <f t="shared" si="26"/>
        <v>0</v>
      </c>
      <c r="X44" s="23"/>
      <c r="Y44" s="158">
        <f t="shared" si="27"/>
        <v>0</v>
      </c>
      <c r="Z44" s="23"/>
      <c r="AA44" s="158">
        <f t="shared" si="28"/>
        <v>0</v>
      </c>
      <c r="AB44" s="23"/>
      <c r="AC44" s="158">
        <f t="shared" si="29"/>
        <v>0</v>
      </c>
      <c r="AD44" s="23"/>
      <c r="AE44" s="158">
        <f t="shared" si="30"/>
        <v>0</v>
      </c>
      <c r="AF44" s="158">
        <f t="shared" si="15"/>
        <v>0</v>
      </c>
      <c r="AG44" s="158">
        <f t="shared" si="16"/>
        <v>0</v>
      </c>
      <c r="AI44" s="177">
        <f t="shared" si="17"/>
        <v>0</v>
      </c>
      <c r="AJ44">
        <f t="shared" si="18"/>
        <v>0</v>
      </c>
      <c r="AK44" t="b">
        <f>IF(B44='5. Oppsummering Budsjett'!$C$10,IF(AI44&gt;0,IF($H$52&gt;0,AI44*(H44/$H$52),AI44*(J44/$J$52)),0))</f>
        <v>0</v>
      </c>
    </row>
    <row r="45" spans="1:37" hidden="1" outlineLevel="1" x14ac:dyDescent="0.25">
      <c r="A45" s="20" t="s">
        <v>498</v>
      </c>
      <c r="B45" s="20"/>
      <c r="C45" s="20"/>
      <c r="D45" s="21">
        <f>IF(E45&gt;0,VLOOKUP(E45,Oppslag!$S$14:$W$27,5,FALSE),0)</f>
        <v>0</v>
      </c>
      <c r="E45" s="156">
        <f>IF(C45&gt;0,VLOOKUP(C45,Oppslag!B:F,5,FALSE),0)</f>
        <v>0</v>
      </c>
      <c r="F45" s="157">
        <f>IF(E45&gt;0,VLOOKUP(E45,Oppslag!$S$14:$V$27,2,FALSE),0)</f>
        <v>0</v>
      </c>
      <c r="G45" s="157">
        <f>IF(E45&gt;0,VLOOKUP(E45,Oppslag!$S$14:$V$27,3,FALSE),0)</f>
        <v>0</v>
      </c>
      <c r="H45" s="23"/>
      <c r="I45" s="158">
        <f t="shared" si="19"/>
        <v>0</v>
      </c>
      <c r="J45" s="23"/>
      <c r="K45" s="158">
        <f t="shared" si="20"/>
        <v>0</v>
      </c>
      <c r="L45" s="23"/>
      <c r="M45" s="158">
        <f t="shared" si="21"/>
        <v>0</v>
      </c>
      <c r="N45" s="23"/>
      <c r="O45" s="158">
        <f t="shared" si="22"/>
        <v>0</v>
      </c>
      <c r="P45" s="23"/>
      <c r="Q45" s="158">
        <f t="shared" si="23"/>
        <v>0</v>
      </c>
      <c r="R45" s="23"/>
      <c r="S45" s="158">
        <f t="shared" si="24"/>
        <v>0</v>
      </c>
      <c r="T45" s="23"/>
      <c r="U45" s="158">
        <f t="shared" si="25"/>
        <v>0</v>
      </c>
      <c r="V45" s="23"/>
      <c r="W45" s="158">
        <f t="shared" si="26"/>
        <v>0</v>
      </c>
      <c r="X45" s="23"/>
      <c r="Y45" s="158">
        <f t="shared" si="27"/>
        <v>0</v>
      </c>
      <c r="Z45" s="23"/>
      <c r="AA45" s="158">
        <f t="shared" si="28"/>
        <v>0</v>
      </c>
      <c r="AB45" s="23"/>
      <c r="AC45" s="158">
        <f t="shared" si="29"/>
        <v>0</v>
      </c>
      <c r="AD45" s="23"/>
      <c r="AE45" s="158">
        <f t="shared" si="30"/>
        <v>0</v>
      </c>
      <c r="AF45" s="158">
        <f t="shared" si="15"/>
        <v>0</v>
      </c>
      <c r="AG45" s="158">
        <f t="shared" si="16"/>
        <v>0</v>
      </c>
      <c r="AI45" s="177">
        <f t="shared" si="17"/>
        <v>0</v>
      </c>
      <c r="AJ45">
        <f t="shared" si="18"/>
        <v>0</v>
      </c>
      <c r="AK45" t="b">
        <f>IF(B45='5. Oppsummering Budsjett'!$C$10,IF(AI45&gt;0,IF($H$52&gt;0,AI45*(H45/$H$52),AI45*(J45/$J$52)),0))</f>
        <v>0</v>
      </c>
    </row>
    <row r="46" spans="1:37" hidden="1" outlineLevel="1" x14ac:dyDescent="0.25">
      <c r="A46" s="20" t="s">
        <v>499</v>
      </c>
      <c r="B46" s="20"/>
      <c r="C46" s="20"/>
      <c r="D46" s="21">
        <f>IF(E46&gt;0,VLOOKUP(E46,Oppslag!$S$14:$W$27,5,FALSE),0)</f>
        <v>0</v>
      </c>
      <c r="E46" s="156">
        <f>IF(C46&gt;0,VLOOKUP(C46,Oppslag!B:F,5,FALSE),0)</f>
        <v>0</v>
      </c>
      <c r="F46" s="157">
        <f>IF(E46&gt;0,VLOOKUP(E46,Oppslag!$S$14:$V$27,2,FALSE),0)</f>
        <v>0</v>
      </c>
      <c r="G46" s="157">
        <f>IF(E46&gt;0,VLOOKUP(E46,Oppslag!$S$14:$V$27,3,FALSE),0)</f>
        <v>0</v>
      </c>
      <c r="H46" s="23"/>
      <c r="I46" s="158">
        <f t="shared" si="19"/>
        <v>0</v>
      </c>
      <c r="J46" s="23"/>
      <c r="K46" s="158">
        <f t="shared" si="20"/>
        <v>0</v>
      </c>
      <c r="L46" s="23"/>
      <c r="M46" s="158">
        <f t="shared" si="21"/>
        <v>0</v>
      </c>
      <c r="N46" s="23"/>
      <c r="O46" s="158">
        <f t="shared" si="22"/>
        <v>0</v>
      </c>
      <c r="P46" s="23"/>
      <c r="Q46" s="158">
        <f t="shared" si="23"/>
        <v>0</v>
      </c>
      <c r="R46" s="23"/>
      <c r="S46" s="158">
        <f t="shared" si="24"/>
        <v>0</v>
      </c>
      <c r="T46" s="23"/>
      <c r="U46" s="158">
        <f t="shared" si="25"/>
        <v>0</v>
      </c>
      <c r="V46" s="23"/>
      <c r="W46" s="158">
        <f t="shared" si="26"/>
        <v>0</v>
      </c>
      <c r="X46" s="23"/>
      <c r="Y46" s="158">
        <f t="shared" si="27"/>
        <v>0</v>
      </c>
      <c r="Z46" s="23"/>
      <c r="AA46" s="158">
        <f t="shared" si="28"/>
        <v>0</v>
      </c>
      <c r="AB46" s="23"/>
      <c r="AC46" s="158">
        <f t="shared" si="29"/>
        <v>0</v>
      </c>
      <c r="AD46" s="23"/>
      <c r="AE46" s="158">
        <f t="shared" si="30"/>
        <v>0</v>
      </c>
      <c r="AF46" s="158">
        <f t="shared" si="15"/>
        <v>0</v>
      </c>
      <c r="AG46" s="158">
        <f t="shared" si="16"/>
        <v>0</v>
      </c>
      <c r="AI46" s="177">
        <f t="shared" si="17"/>
        <v>0</v>
      </c>
      <c r="AJ46">
        <f t="shared" si="18"/>
        <v>0</v>
      </c>
      <c r="AK46" t="b">
        <f>IF(B46='5. Oppsummering Budsjett'!$C$10,IF(AI46&gt;0,IF($H$52&gt;0,AI46*(H46/$H$52),AI46*(J46/$J$52)),0))</f>
        <v>0</v>
      </c>
    </row>
    <row r="47" spans="1:37" hidden="1" outlineLevel="1" x14ac:dyDescent="0.25">
      <c r="A47" s="20" t="s">
        <v>500</v>
      </c>
      <c r="B47" s="20"/>
      <c r="C47" s="20"/>
      <c r="D47" s="21">
        <f>IF(E47&gt;0,VLOOKUP(E47,Oppslag!$S$14:$W$27,5,FALSE),0)</f>
        <v>0</v>
      </c>
      <c r="E47" s="156">
        <f>IF(C47&gt;0,VLOOKUP(C47,Oppslag!B:F,5,FALSE),0)</f>
        <v>0</v>
      </c>
      <c r="F47" s="157">
        <f>IF(E47&gt;0,VLOOKUP(E47,Oppslag!$S$14:$V$27,2,FALSE),0)</f>
        <v>0</v>
      </c>
      <c r="G47" s="157">
        <f>IF(E47&gt;0,VLOOKUP(E47,Oppslag!$S$14:$V$27,3,FALSE),0)</f>
        <v>0</v>
      </c>
      <c r="H47" s="23"/>
      <c r="I47" s="158">
        <f t="shared" si="19"/>
        <v>0</v>
      </c>
      <c r="J47" s="23"/>
      <c r="K47" s="158">
        <f t="shared" si="20"/>
        <v>0</v>
      </c>
      <c r="L47" s="23"/>
      <c r="M47" s="158">
        <f t="shared" si="21"/>
        <v>0</v>
      </c>
      <c r="N47" s="23"/>
      <c r="O47" s="158">
        <f t="shared" si="22"/>
        <v>0</v>
      </c>
      <c r="P47" s="23"/>
      <c r="Q47" s="158">
        <f t="shared" si="23"/>
        <v>0</v>
      </c>
      <c r="R47" s="23"/>
      <c r="S47" s="158">
        <f t="shared" si="24"/>
        <v>0</v>
      </c>
      <c r="T47" s="23"/>
      <c r="U47" s="158">
        <f t="shared" si="25"/>
        <v>0</v>
      </c>
      <c r="V47" s="23"/>
      <c r="W47" s="158">
        <f t="shared" si="26"/>
        <v>0</v>
      </c>
      <c r="X47" s="23"/>
      <c r="Y47" s="158">
        <f t="shared" si="27"/>
        <v>0</v>
      </c>
      <c r="Z47" s="23"/>
      <c r="AA47" s="158">
        <f t="shared" si="28"/>
        <v>0</v>
      </c>
      <c r="AB47" s="23"/>
      <c r="AC47" s="158">
        <f t="shared" si="29"/>
        <v>0</v>
      </c>
      <c r="AD47" s="23"/>
      <c r="AE47" s="158">
        <f t="shared" si="30"/>
        <v>0</v>
      </c>
      <c r="AF47" s="158">
        <f t="shared" si="15"/>
        <v>0</v>
      </c>
      <c r="AG47" s="158">
        <f t="shared" si="16"/>
        <v>0</v>
      </c>
      <c r="AI47" s="177">
        <f t="shared" si="17"/>
        <v>0</v>
      </c>
      <c r="AJ47">
        <f t="shared" si="18"/>
        <v>0</v>
      </c>
      <c r="AK47" t="b">
        <f>IF(B47='5. Oppsummering Budsjett'!$C$10,IF(AI47&gt;0,IF($H$52&gt;0,AI47*(H47/$H$52),AI47*(J47/$J$52)),0))</f>
        <v>0</v>
      </c>
    </row>
    <row r="48" spans="1:37" hidden="1" outlineLevel="1" x14ac:dyDescent="0.25">
      <c r="A48" s="20" t="s">
        <v>501</v>
      </c>
      <c r="B48" s="20"/>
      <c r="C48" s="20"/>
      <c r="D48" s="21">
        <f>IF(E48&gt;0,VLOOKUP(E48,Oppslag!$S$14:$W$27,5,FALSE),0)</f>
        <v>0</v>
      </c>
      <c r="E48" s="156">
        <f>IF(C48&gt;0,VLOOKUP(C48,Oppslag!B:F,5,FALSE),0)</f>
        <v>0</v>
      </c>
      <c r="F48" s="157">
        <f>IF(E48&gt;0,VLOOKUP(E48,Oppslag!$S$14:$V$27,2,FALSE),0)</f>
        <v>0</v>
      </c>
      <c r="G48" s="157">
        <f>IF(E48&gt;0,VLOOKUP(E48,Oppslag!$S$14:$V$27,3,FALSE),0)</f>
        <v>0</v>
      </c>
      <c r="H48" s="23"/>
      <c r="I48" s="158">
        <f t="shared" si="19"/>
        <v>0</v>
      </c>
      <c r="J48" s="23"/>
      <c r="K48" s="158">
        <f t="shared" si="20"/>
        <v>0</v>
      </c>
      <c r="L48" s="23"/>
      <c r="M48" s="158">
        <f t="shared" si="21"/>
        <v>0</v>
      </c>
      <c r="N48" s="23"/>
      <c r="O48" s="158">
        <f t="shared" si="22"/>
        <v>0</v>
      </c>
      <c r="P48" s="23"/>
      <c r="Q48" s="158">
        <f t="shared" si="23"/>
        <v>0</v>
      </c>
      <c r="R48" s="23"/>
      <c r="S48" s="158">
        <f t="shared" si="24"/>
        <v>0</v>
      </c>
      <c r="T48" s="23"/>
      <c r="U48" s="158">
        <f t="shared" si="25"/>
        <v>0</v>
      </c>
      <c r="V48" s="23"/>
      <c r="W48" s="158">
        <f t="shared" si="26"/>
        <v>0</v>
      </c>
      <c r="X48" s="23"/>
      <c r="Y48" s="158">
        <f t="shared" si="27"/>
        <v>0</v>
      </c>
      <c r="Z48" s="23"/>
      <c r="AA48" s="158">
        <f t="shared" si="28"/>
        <v>0</v>
      </c>
      <c r="AB48" s="23"/>
      <c r="AC48" s="158">
        <f t="shared" si="29"/>
        <v>0</v>
      </c>
      <c r="AD48" s="23"/>
      <c r="AE48" s="158">
        <f t="shared" si="30"/>
        <v>0</v>
      </c>
      <c r="AF48" s="158">
        <f t="shared" si="15"/>
        <v>0</v>
      </c>
      <c r="AG48" s="158">
        <f t="shared" si="16"/>
        <v>0</v>
      </c>
      <c r="AI48" s="177">
        <f t="shared" si="17"/>
        <v>0</v>
      </c>
      <c r="AJ48">
        <f t="shared" si="18"/>
        <v>0</v>
      </c>
      <c r="AK48" t="b">
        <f>IF(B48='5. Oppsummering Budsjett'!$C$10,IF(AI48&gt;0,IF($H$52&gt;0,AI48*(H48/$H$52),AI48*(J48/$J$52)),0))</f>
        <v>0</v>
      </c>
    </row>
    <row r="49" spans="1:37" hidden="1" outlineLevel="1" x14ac:dyDescent="0.25">
      <c r="A49" s="20" t="s">
        <v>502</v>
      </c>
      <c r="B49" s="20"/>
      <c r="C49" s="20"/>
      <c r="D49" s="21">
        <f>IF(E49&gt;0,VLOOKUP(E49,Oppslag!$S$14:$W$27,5,FALSE),0)</f>
        <v>0</v>
      </c>
      <c r="E49" s="156">
        <f>IF(C49&gt;0,VLOOKUP(C49,Oppslag!B:F,5,FALSE),0)</f>
        <v>0</v>
      </c>
      <c r="F49" s="157">
        <f>IF(E49&gt;0,VLOOKUP(E49,Oppslag!$S$14:$V$27,2,FALSE),0)</f>
        <v>0</v>
      </c>
      <c r="G49" s="157">
        <f>IF(E49&gt;0,VLOOKUP(E49,Oppslag!$S$14:$V$27,3,FALSE),0)</f>
        <v>0</v>
      </c>
      <c r="H49" s="23"/>
      <c r="I49" s="158">
        <f t="shared" si="19"/>
        <v>0</v>
      </c>
      <c r="J49" s="23"/>
      <c r="K49" s="158">
        <f t="shared" si="20"/>
        <v>0</v>
      </c>
      <c r="L49" s="23"/>
      <c r="M49" s="158">
        <f t="shared" si="21"/>
        <v>0</v>
      </c>
      <c r="N49" s="23"/>
      <c r="O49" s="158">
        <f t="shared" si="22"/>
        <v>0</v>
      </c>
      <c r="P49" s="23"/>
      <c r="Q49" s="158">
        <f t="shared" si="23"/>
        <v>0</v>
      </c>
      <c r="R49" s="23"/>
      <c r="S49" s="158">
        <f t="shared" si="24"/>
        <v>0</v>
      </c>
      <c r="T49" s="23"/>
      <c r="U49" s="158">
        <f t="shared" si="25"/>
        <v>0</v>
      </c>
      <c r="V49" s="23"/>
      <c r="W49" s="158">
        <f t="shared" si="26"/>
        <v>0</v>
      </c>
      <c r="X49" s="23"/>
      <c r="Y49" s="158">
        <f t="shared" si="27"/>
        <v>0</v>
      </c>
      <c r="Z49" s="23"/>
      <c r="AA49" s="158">
        <f t="shared" si="28"/>
        <v>0</v>
      </c>
      <c r="AB49" s="23"/>
      <c r="AC49" s="158">
        <f t="shared" si="29"/>
        <v>0</v>
      </c>
      <c r="AD49" s="23"/>
      <c r="AE49" s="158">
        <f t="shared" si="30"/>
        <v>0</v>
      </c>
      <c r="AF49" s="158">
        <f t="shared" si="15"/>
        <v>0</v>
      </c>
      <c r="AG49" s="158">
        <f t="shared" si="16"/>
        <v>0</v>
      </c>
      <c r="AI49" s="177">
        <f t="shared" si="17"/>
        <v>0</v>
      </c>
      <c r="AJ49">
        <f t="shared" si="18"/>
        <v>0</v>
      </c>
      <c r="AK49" t="b">
        <f>IF(B49='5. Oppsummering Budsjett'!$C$10,IF(AI49&gt;0,IF($H$52&gt;0,AI49*(H49/$H$52),AI49*(J49/$J$52)),0))</f>
        <v>0</v>
      </c>
    </row>
    <row r="50" spans="1:37" hidden="1" outlineLevel="1" x14ac:dyDescent="0.25">
      <c r="A50" s="20" t="s">
        <v>503</v>
      </c>
      <c r="B50" s="20"/>
      <c r="C50" s="20"/>
      <c r="D50" s="21">
        <f>IF(E50&gt;0,VLOOKUP(E50,Oppslag!$S$14:$W$27,5,FALSE),0)</f>
        <v>0</v>
      </c>
      <c r="E50" s="156">
        <f>IF(C50&gt;0,VLOOKUP(C50,Oppslag!B:F,5,FALSE),0)</f>
        <v>0</v>
      </c>
      <c r="F50" s="157">
        <f>IF(E50&gt;0,VLOOKUP(E50,Oppslag!$S$14:$V$27,2,FALSE),0)</f>
        <v>0</v>
      </c>
      <c r="G50" s="157">
        <f>IF(E50&gt;0,VLOOKUP(E50,Oppslag!$S$14:$V$27,3,FALSE),0)</f>
        <v>0</v>
      </c>
      <c r="H50" s="23"/>
      <c r="I50" s="158">
        <f t="shared" si="19"/>
        <v>0</v>
      </c>
      <c r="J50" s="23"/>
      <c r="K50" s="158">
        <f t="shared" si="20"/>
        <v>0</v>
      </c>
      <c r="L50" s="23"/>
      <c r="M50" s="158">
        <f t="shared" si="21"/>
        <v>0</v>
      </c>
      <c r="N50" s="23"/>
      <c r="O50" s="158">
        <f t="shared" si="22"/>
        <v>0</v>
      </c>
      <c r="P50" s="23"/>
      <c r="Q50" s="158">
        <f t="shared" si="23"/>
        <v>0</v>
      </c>
      <c r="R50" s="23"/>
      <c r="S50" s="158">
        <f t="shared" si="24"/>
        <v>0</v>
      </c>
      <c r="T50" s="23"/>
      <c r="U50" s="158">
        <f t="shared" si="25"/>
        <v>0</v>
      </c>
      <c r="V50" s="23"/>
      <c r="W50" s="158">
        <f t="shared" si="26"/>
        <v>0</v>
      </c>
      <c r="X50" s="23"/>
      <c r="Y50" s="158">
        <f t="shared" si="27"/>
        <v>0</v>
      </c>
      <c r="Z50" s="23"/>
      <c r="AA50" s="158">
        <f t="shared" si="28"/>
        <v>0</v>
      </c>
      <c r="AB50" s="23"/>
      <c r="AC50" s="158">
        <f t="shared" si="29"/>
        <v>0</v>
      </c>
      <c r="AD50" s="23"/>
      <c r="AE50" s="158">
        <f t="shared" si="30"/>
        <v>0</v>
      </c>
      <c r="AF50" s="158">
        <f t="shared" si="15"/>
        <v>0</v>
      </c>
      <c r="AG50" s="158">
        <f t="shared" si="16"/>
        <v>0</v>
      </c>
      <c r="AI50" s="177">
        <f t="shared" si="17"/>
        <v>0</v>
      </c>
      <c r="AJ50">
        <f t="shared" si="18"/>
        <v>0</v>
      </c>
      <c r="AK50" t="b">
        <f>IF(B50='5. Oppsummering Budsjett'!$C$10,IF(AI50&gt;0,IF($H$52&gt;0,AI50*(H50/$H$52),AI50*(J50/$J$52)),0))</f>
        <v>0</v>
      </c>
    </row>
    <row r="51" spans="1:37" hidden="1" outlineLevel="1" x14ac:dyDescent="0.25">
      <c r="H51" s="260">
        <f>SUM(H11:H50)</f>
        <v>247.8</v>
      </c>
      <c r="J51" s="260">
        <f>SUM(J11:J50)</f>
        <v>410.6</v>
      </c>
      <c r="L51" s="260">
        <f>SUM(L11:L50)</f>
        <v>495.6</v>
      </c>
      <c r="N51" s="260">
        <f>SUM(N11:N50)</f>
        <v>410.6</v>
      </c>
      <c r="P51" s="260">
        <f>SUM(P11:P50)</f>
        <v>410.6</v>
      </c>
      <c r="R51" s="260">
        <f>SUM(R11:R50)</f>
        <v>0</v>
      </c>
      <c r="AJ51">
        <f>SUM(AJ11:AJ50)</f>
        <v>973.99999999999989</v>
      </c>
      <c r="AK51">
        <f>SUM(AK11:AK50)</f>
        <v>974</v>
      </c>
    </row>
    <row r="52" spans="1:37" hidden="1" outlineLevel="1" x14ac:dyDescent="0.25">
      <c r="H52" s="260">
        <f>SUMIF($B$11:$B$50,'5. Oppsummering Budsjett'!$C$10,'3. Budsjettering - Timer'!H11:H50)</f>
        <v>85</v>
      </c>
      <c r="J52" s="260">
        <f>SUMIF($B$11:$B$50,'5. Oppsummering Budsjett'!$C$10,'3. Budsjettering - Timer'!J11:J50)</f>
        <v>247.8</v>
      </c>
      <c r="L52" s="260">
        <f>SUMIF($B$11:$B$50,'5. Oppsummering Budsjett'!$C$10,'3. Budsjettering - Timer'!L11:L50)</f>
        <v>332.8</v>
      </c>
      <c r="N52" s="260">
        <f>SUMIF($B$11:$B$50,'5. Oppsummering Budsjett'!$C$10,'3. Budsjettering - Timer'!N11:N50)</f>
        <v>247.8</v>
      </c>
      <c r="P52" s="260">
        <f>SUMIF($B$11:$B$50,'5. Oppsummering Budsjett'!$C$10,'3. Budsjettering - Timer'!P11:P50)</f>
        <v>247.8</v>
      </c>
      <c r="R52" s="260">
        <f>SUMIF($B$11:$B$50,'5. Oppsummering Budsjett'!$C$10,'3. Budsjettering - Timer'!R11:R50)</f>
        <v>0</v>
      </c>
      <c r="T52" s="260">
        <f>SUMIF($B$11:$B$50,'5. Oppsummering Budsjett'!$C$10,'3. Budsjettering - Timer'!T11:T50)</f>
        <v>0</v>
      </c>
      <c r="V52" s="260">
        <f>SUMIF($B$11:$B$50,'5. Oppsummering Budsjett'!$C$10,'3. Budsjettering - Timer'!V11:V50)</f>
        <v>0</v>
      </c>
      <c r="X52" s="260">
        <f>SUMIF($B$11:$B$50,'5. Oppsummering Budsjett'!$C$10,'3. Budsjettering - Timer'!X11:X50)</f>
        <v>0</v>
      </c>
      <c r="Z52" s="260">
        <f>SUMIF($B$11:$B$50,'5. Oppsummering Budsjett'!$C$10,'3. Budsjettering - Timer'!Z11:Z50)</f>
        <v>0</v>
      </c>
      <c r="AB52" s="260">
        <f>SUMIF($B$11:$B$50,'5. Oppsummering Budsjett'!$C$10,'3. Budsjettering - Timer'!AB11:AB50)</f>
        <v>0</v>
      </c>
      <c r="AD52" s="260">
        <f>SUMIF($B$11:$B$50,'5. Oppsummering Budsjett'!$C$10,'3. Budsjettering - Timer'!AD11:AD50)</f>
        <v>0</v>
      </c>
      <c r="AK52" s="261"/>
    </row>
    <row r="53" spans="1:37" collapsed="1" x14ac:dyDescent="0.25">
      <c r="H53" s="260"/>
      <c r="J53" s="260"/>
      <c r="L53" s="260"/>
      <c r="N53" s="260"/>
      <c r="P53" s="260"/>
      <c r="R53" s="260"/>
      <c r="AK53" s="261"/>
    </row>
    <row r="54" spans="1:37" x14ac:dyDescent="0.25">
      <c r="H54" s="260"/>
      <c r="J54" s="260"/>
      <c r="L54" s="260"/>
      <c r="N54" s="260"/>
      <c r="P54" s="260"/>
      <c r="R54" s="260"/>
      <c r="AK54" s="261"/>
    </row>
    <row r="55" spans="1:37" ht="15.75" thickBot="1" x14ac:dyDescent="0.3"/>
    <row r="56" spans="1:37" x14ac:dyDescent="0.25">
      <c r="A56" s="330" t="s">
        <v>129</v>
      </c>
      <c r="B56" s="331"/>
      <c r="C56" s="331"/>
      <c r="D56" s="331"/>
      <c r="E56" s="331"/>
      <c r="F56" s="331"/>
      <c r="G56" s="331"/>
      <c r="H56" s="331"/>
      <c r="I56" s="331"/>
      <c r="J56" s="331"/>
      <c r="K56" s="331"/>
      <c r="L56" s="331"/>
      <c r="M56" s="331"/>
      <c r="N56" s="331"/>
      <c r="O56" s="331"/>
      <c r="P56" s="332"/>
    </row>
    <row r="57" spans="1:37" x14ac:dyDescent="0.25">
      <c r="A57" s="241"/>
      <c r="B57" s="242"/>
      <c r="C57" s="242"/>
      <c r="D57" s="25">
        <f>H9</f>
        <v>2019</v>
      </c>
      <c r="E57" s="25">
        <f>J9</f>
        <v>2020</v>
      </c>
      <c r="F57" s="25">
        <f>L9</f>
        <v>2021</v>
      </c>
      <c r="G57" s="25">
        <f>N9</f>
        <v>2022</v>
      </c>
      <c r="H57" s="25">
        <f>P9</f>
        <v>2023</v>
      </c>
      <c r="I57" s="25">
        <f>R9</f>
        <v>2024</v>
      </c>
      <c r="J57" s="25">
        <f>T9</f>
        <v>2025</v>
      </c>
      <c r="K57" s="25">
        <f>V9</f>
        <v>2026</v>
      </c>
      <c r="L57" s="25">
        <f>X9</f>
        <v>2027</v>
      </c>
      <c r="M57" s="25">
        <f>Z9</f>
        <v>2028</v>
      </c>
      <c r="N57" s="25">
        <f>AB9</f>
        <v>2029</v>
      </c>
      <c r="O57" s="25">
        <f>AD9</f>
        <v>2030</v>
      </c>
      <c r="P57" s="29" t="s">
        <v>79</v>
      </c>
    </row>
    <row r="58" spans="1:37" x14ac:dyDescent="0.25">
      <c r="A58" s="24" t="s">
        <v>425</v>
      </c>
      <c r="B58" s="131"/>
      <c r="C58" s="131"/>
      <c r="D58" s="32">
        <f>SUM(C67:C106)</f>
        <v>172716.6</v>
      </c>
      <c r="E58" s="32">
        <f>SUM(E67:E106)</f>
        <v>262410.83400000003</v>
      </c>
      <c r="F58" s="32">
        <f>SUM(G67:G106)</f>
        <v>333136.17952000001</v>
      </c>
      <c r="G58" s="32">
        <f>SUM(I67:I106)</f>
        <v>278391.65379060002</v>
      </c>
      <c r="H58" s="32">
        <f>SUM(K67:K106)</f>
        <v>286743.40340431809</v>
      </c>
      <c r="I58" s="32">
        <f>SUM(M67:M106)</f>
        <v>0</v>
      </c>
      <c r="J58" s="32">
        <f>SUM(O67:O106)</f>
        <v>0</v>
      </c>
      <c r="K58" s="32">
        <f>SUM(Q67:Q106)</f>
        <v>0</v>
      </c>
      <c r="L58" s="32">
        <f>SUM(S67:S106)</f>
        <v>0</v>
      </c>
      <c r="M58" s="32">
        <f>SUM(U67:U106)</f>
        <v>0</v>
      </c>
      <c r="N58" s="32">
        <f>SUM(W67:W106)</f>
        <v>0</v>
      </c>
      <c r="O58" s="32">
        <f>SUM(Y67:Y106)</f>
        <v>0</v>
      </c>
      <c r="P58" s="34">
        <f>SUM(D58:O58)</f>
        <v>1333398.6707149181</v>
      </c>
    </row>
    <row r="59" spans="1:37" x14ac:dyDescent="0.25">
      <c r="A59" s="24" t="s">
        <v>426</v>
      </c>
      <c r="B59" s="131"/>
      <c r="C59" s="131"/>
      <c r="D59" s="32">
        <f>SUM(D67:D106)</f>
        <v>68640.600000000006</v>
      </c>
      <c r="E59" s="32">
        <f>SUM(F67:F106)</f>
        <v>117148.28600000002</v>
      </c>
      <c r="F59" s="32">
        <f>SUM(H67:H106)</f>
        <v>145641.62508</v>
      </c>
      <c r="G59" s="32">
        <f>SUM(J67:J106)</f>
        <v>124282.61661740002</v>
      </c>
      <c r="H59" s="32">
        <f>SUM(L67:L106)</f>
        <v>128011.09511592203</v>
      </c>
      <c r="I59" s="32">
        <f>SUM(N67:N106)</f>
        <v>0</v>
      </c>
      <c r="J59" s="32">
        <f>SUM(P67:P106)</f>
        <v>0</v>
      </c>
      <c r="K59" s="32">
        <f>SUM(R67:R106)</f>
        <v>0</v>
      </c>
      <c r="L59" s="32">
        <f>SUM(T67:T106)</f>
        <v>0</v>
      </c>
      <c r="M59" s="32">
        <f>SUM(V67:V106)</f>
        <v>0</v>
      </c>
      <c r="N59" s="32">
        <f>SUM(X67:X106)</f>
        <v>0</v>
      </c>
      <c r="O59" s="32">
        <f>SUM(Z67:Z106)</f>
        <v>0</v>
      </c>
      <c r="P59" s="34">
        <f>SUM(D59:O59)</f>
        <v>583724.22281332209</v>
      </c>
    </row>
    <row r="60" spans="1:37" ht="15.75" thickBot="1" x14ac:dyDescent="0.3">
      <c r="A60" s="26" t="s">
        <v>127</v>
      </c>
      <c r="B60" s="243"/>
      <c r="C60" s="243"/>
      <c r="D60" s="33">
        <f>SUM(D58:D59)</f>
        <v>241357.2</v>
      </c>
      <c r="E60" s="33">
        <f>SUM(E58:E59)</f>
        <v>379559.12000000005</v>
      </c>
      <c r="F60" s="33">
        <f t="shared" ref="F60:M60" si="31">SUM(F58:F59)</f>
        <v>478777.80460000003</v>
      </c>
      <c r="G60" s="33">
        <f t="shared" si="31"/>
        <v>402674.27040800004</v>
      </c>
      <c r="H60" s="33">
        <f t="shared" si="31"/>
        <v>414754.49852024013</v>
      </c>
      <c r="I60" s="33">
        <f t="shared" si="31"/>
        <v>0</v>
      </c>
      <c r="J60" s="33">
        <f t="shared" si="31"/>
        <v>0</v>
      </c>
      <c r="K60" s="33">
        <f t="shared" si="31"/>
        <v>0</v>
      </c>
      <c r="L60" s="33">
        <f t="shared" si="31"/>
        <v>0</v>
      </c>
      <c r="M60" s="33">
        <f t="shared" si="31"/>
        <v>0</v>
      </c>
      <c r="N60" s="33">
        <f t="shared" ref="N60:O60" si="32">SUM(N58:N59)</f>
        <v>0</v>
      </c>
      <c r="O60" s="33">
        <f t="shared" si="32"/>
        <v>0</v>
      </c>
      <c r="P60" s="35">
        <f>SUM(D60:O60)</f>
        <v>1917122.8935282405</v>
      </c>
    </row>
    <row r="63" spans="1:37" hidden="1" outlineLevel="1" x14ac:dyDescent="0.25"/>
    <row r="64" spans="1:37" hidden="1" outlineLevel="1" x14ac:dyDescent="0.25"/>
    <row r="65" spans="2:27" hidden="1" outlineLevel="1" x14ac:dyDescent="0.25">
      <c r="C65" s="329">
        <f>YEAR('1. Prosjektinfo'!$B$6)</f>
        <v>2019</v>
      </c>
      <c r="D65" s="329"/>
      <c r="E65" s="329">
        <f>C65+1</f>
        <v>2020</v>
      </c>
      <c r="F65" s="329"/>
      <c r="G65" s="329">
        <f t="shared" ref="G65" si="33">E65+1</f>
        <v>2021</v>
      </c>
      <c r="H65" s="329"/>
      <c r="I65" s="329">
        <f t="shared" ref="I65" si="34">G65+1</f>
        <v>2022</v>
      </c>
      <c r="J65" s="329"/>
      <c r="K65" s="329">
        <f t="shared" ref="K65" si="35">I65+1</f>
        <v>2023</v>
      </c>
      <c r="L65" s="329"/>
      <c r="M65" s="329">
        <f t="shared" ref="M65" si="36">K65+1</f>
        <v>2024</v>
      </c>
      <c r="N65" s="329"/>
      <c r="O65" s="329">
        <f t="shared" ref="O65" si="37">M65+1</f>
        <v>2025</v>
      </c>
      <c r="P65" s="329"/>
      <c r="Q65" s="329">
        <f t="shared" ref="Q65" si="38">O65+1</f>
        <v>2026</v>
      </c>
      <c r="R65" s="329"/>
      <c r="S65" s="329">
        <f t="shared" ref="S65" si="39">Q65+1</f>
        <v>2027</v>
      </c>
      <c r="T65" s="329"/>
      <c r="U65" s="329">
        <f t="shared" ref="U65" si="40">S65+1</f>
        <v>2028</v>
      </c>
      <c r="V65" s="329"/>
      <c r="W65" s="329">
        <f t="shared" ref="W65" si="41">U65+1</f>
        <v>2029</v>
      </c>
      <c r="X65" s="329"/>
      <c r="Y65" s="329">
        <f t="shared" ref="Y65" si="42">W65+1</f>
        <v>2030</v>
      </c>
      <c r="Z65" s="329"/>
    </row>
    <row r="66" spans="2:27" ht="45" hidden="1" outlineLevel="1" x14ac:dyDescent="0.25">
      <c r="B66" s="19" t="s">
        <v>481</v>
      </c>
      <c r="C66" s="140" t="s">
        <v>126</v>
      </c>
      <c r="D66" s="19" t="s">
        <v>125</v>
      </c>
      <c r="E66" s="19" t="s">
        <v>126</v>
      </c>
      <c r="F66" s="19" t="s">
        <v>125</v>
      </c>
      <c r="G66" s="19" t="s">
        <v>126</v>
      </c>
      <c r="H66" s="19" t="s">
        <v>125</v>
      </c>
      <c r="I66" s="19" t="s">
        <v>126</v>
      </c>
      <c r="J66" s="19" t="s">
        <v>125</v>
      </c>
      <c r="K66" s="19" t="s">
        <v>126</v>
      </c>
      <c r="L66" s="19" t="s">
        <v>125</v>
      </c>
      <c r="M66" s="19" t="s">
        <v>126</v>
      </c>
      <c r="N66" s="19" t="s">
        <v>125</v>
      </c>
      <c r="O66" s="19" t="s">
        <v>126</v>
      </c>
      <c r="P66" s="19" t="s">
        <v>125</v>
      </c>
      <c r="Q66" s="19" t="s">
        <v>126</v>
      </c>
      <c r="R66" s="19" t="s">
        <v>125</v>
      </c>
      <c r="S66" s="19" t="s">
        <v>126</v>
      </c>
      <c r="T66" s="19" t="s">
        <v>125</v>
      </c>
      <c r="U66" s="19" t="s">
        <v>126</v>
      </c>
      <c r="V66" s="19" t="s">
        <v>125</v>
      </c>
      <c r="W66" s="19" t="s">
        <v>126</v>
      </c>
      <c r="X66" s="19" t="s">
        <v>125</v>
      </c>
      <c r="Y66" s="19" t="s">
        <v>126</v>
      </c>
      <c r="Z66" s="19" t="s">
        <v>125</v>
      </c>
    </row>
    <row r="67" spans="2:27" hidden="1" outlineLevel="1" x14ac:dyDescent="0.25">
      <c r="B67" s="177">
        <f>B11</f>
        <v>1</v>
      </c>
      <c r="C67" s="159">
        <f>($F11*H11)*VLOOKUP(H$9,Oppslag!$AT:$AV,2,FALSE)</f>
        <v>113471.6</v>
      </c>
      <c r="D67" s="158">
        <f>($G11*H11)*VLOOKUP(H$9,Oppslag!$AT:$AV,2,FALSE)</f>
        <v>45095.600000000006</v>
      </c>
      <c r="E67" s="265">
        <f>($F11*J11)*VLOOKUP(J$9,Oppslag!$AT:$AV,2,FALSE)</f>
        <v>116875.74800000001</v>
      </c>
      <c r="F67" s="265">
        <f>($G11*J11)*VLOOKUP(J$9,Oppslag!$AT:$AV,2,FALSE)</f>
        <v>46448.468000000008</v>
      </c>
      <c r="G67" s="158">
        <f>($F11*L11)*VLOOKUP(L$9,Oppslag!$AT:$AV,2,FALSE)</f>
        <v>120382.02044000001</v>
      </c>
      <c r="H67" s="158">
        <f>($G11*L11)*VLOOKUP(L$9,Oppslag!$AT:$AV,2,FALSE)</f>
        <v>47841.922040000005</v>
      </c>
      <c r="I67" s="265">
        <f>($F11*N11)*VLOOKUP(N$9,Oppslag!$AT:$AV,2,FALSE)</f>
        <v>123993.48105320001</v>
      </c>
      <c r="J67" s="265">
        <f>($G11*N11)*VLOOKUP(N$9,Oppslag!$AT:$AV,2,FALSE)</f>
        <v>49277.17970120001</v>
      </c>
      <c r="K67" s="158">
        <f>($F11*P11)*VLOOKUP(P$9,Oppslag!$AT:$AV,2,FALSE)</f>
        <v>127713.28548479603</v>
      </c>
      <c r="L67" s="158">
        <f>($G11*P11)*VLOOKUP(P$9,Oppslag!$AT:$AV,2,FALSE)</f>
        <v>50755.495092236015</v>
      </c>
      <c r="M67" s="265">
        <f>($F11*R11)*VLOOKUP(R$9,Oppslag!$AT:$AV,2,FALSE)</f>
        <v>0</v>
      </c>
      <c r="N67" s="265">
        <f>($G11*R11)*VLOOKUP(R$9,Oppslag!$AT:$AV,2,FALSE)</f>
        <v>0</v>
      </c>
      <c r="O67" s="158">
        <f>($F11*T11)*VLOOKUP(T$9,Oppslag!$AT:$AV,2,FALSE)</f>
        <v>0</v>
      </c>
      <c r="P67" s="158">
        <f>($G11*T11)*VLOOKUP(T$9,Oppslag!$AT:$AV,2,FALSE)</f>
        <v>0</v>
      </c>
      <c r="Q67" s="265">
        <f>($F11*V11)*VLOOKUP(V$9,Oppslag!$AT:$AV,2,FALSE)</f>
        <v>0</v>
      </c>
      <c r="R67" s="265">
        <f>($G11*V11)*VLOOKUP(V$9,Oppslag!$AT:$AV,2,FALSE)</f>
        <v>0</v>
      </c>
      <c r="S67" s="158">
        <f>($F11*X11)*VLOOKUP(X$9,Oppslag!$AT:$AV,2,FALSE)</f>
        <v>0</v>
      </c>
      <c r="T67" s="158">
        <f>($G11*X11)*VLOOKUP(X$9,Oppslag!$AT:$AV,2,FALSE)</f>
        <v>0</v>
      </c>
      <c r="U67" s="265">
        <f>($F11*Z11)*VLOOKUP(Z$9,Oppslag!$AT:$AV,2,FALSE)</f>
        <v>0</v>
      </c>
      <c r="V67" s="265">
        <f>($G11*Z11)*VLOOKUP(Z$9,Oppslag!$AT:$AV,2,FALSE)</f>
        <v>0</v>
      </c>
      <c r="W67" s="158">
        <f>($F11*AB11)*VLOOKUP(AB$9,Oppslag!$AT:$AV,2,FALSE)</f>
        <v>0</v>
      </c>
      <c r="X67" s="158">
        <f>($G11*AB11)*VLOOKUP(AB$9,Oppslag!$AT:$AV,2,FALSE)</f>
        <v>0</v>
      </c>
      <c r="Y67" s="265">
        <f>($F11*AD11)*VLOOKUP(AD$9,Oppslag!$AT:$AV,2,FALSE)</f>
        <v>0</v>
      </c>
      <c r="Z67" s="265">
        <f>($G11*AD11)*VLOOKUP(AD$9,Oppslag!$AT:$AV,2,FALSE)</f>
        <v>0</v>
      </c>
      <c r="AA67" s="177">
        <f>SUM(B67:Z67)</f>
        <v>841855.79981143202</v>
      </c>
    </row>
    <row r="68" spans="2:27" hidden="1" outlineLevel="1" x14ac:dyDescent="0.25">
      <c r="B68" s="177">
        <f t="shared" ref="B68:B106" si="43">B12</f>
        <v>2</v>
      </c>
      <c r="C68" s="159">
        <f>($F12*H12)*VLOOKUP(H$9,Oppslag!$AT:$AV,2,FALSE)</f>
        <v>59245</v>
      </c>
      <c r="D68" s="158">
        <f>($G12*H12)*VLOOKUP(H$9,Oppslag!$AT:$AV,2,FALSE)</f>
        <v>23545</v>
      </c>
      <c r="E68" s="265">
        <f>($F12*J12)*VLOOKUP(J$9,Oppslag!$AT:$AV,2,FALSE)</f>
        <v>61022.35</v>
      </c>
      <c r="F68" s="265">
        <f>($G12*J12)*VLOOKUP(J$9,Oppslag!$AT:$AV,2,FALSE)</f>
        <v>24251.350000000002</v>
      </c>
      <c r="G68" s="158">
        <f>($F12*L12)*VLOOKUP(L$9,Oppslag!$AT:$AV,2,FALSE)</f>
        <v>125706.041</v>
      </c>
      <c r="H68" s="158">
        <f>($G12*L12)*VLOOKUP(L$9,Oppslag!$AT:$AV,2,FALSE)</f>
        <v>49957.780999999995</v>
      </c>
      <c r="I68" s="265">
        <f>($F12*N12)*VLOOKUP(N$9,Oppslag!$AT:$AV,2,FALSE)</f>
        <v>64738.611115</v>
      </c>
      <c r="J68" s="265">
        <f>($G12*N12)*VLOOKUP(N$9,Oppslag!$AT:$AV,2,FALSE)</f>
        <v>25728.257215000001</v>
      </c>
      <c r="K68" s="158">
        <f>($F12*P12)*VLOOKUP(P$9,Oppslag!$AT:$AV,2,FALSE)</f>
        <v>66680.76944845001</v>
      </c>
      <c r="L68" s="158">
        <f>($G12*P12)*VLOOKUP(P$9,Oppslag!$AT:$AV,2,FALSE)</f>
        <v>26500.104931450001</v>
      </c>
      <c r="M68" s="265">
        <f>($F12*R12)*VLOOKUP(R$9,Oppslag!$AT:$AV,2,FALSE)</f>
        <v>0</v>
      </c>
      <c r="N68" s="265">
        <f>($G12*R12)*VLOOKUP(R$9,Oppslag!$AT:$AV,2,FALSE)</f>
        <v>0</v>
      </c>
      <c r="O68" s="158">
        <f>($F12*T12)*VLOOKUP(T$9,Oppslag!$AT:$AV,2,FALSE)</f>
        <v>0</v>
      </c>
      <c r="P68" s="158">
        <f>($G12*T12)*VLOOKUP(T$9,Oppslag!$AT:$AV,2,FALSE)</f>
        <v>0</v>
      </c>
      <c r="Q68" s="265">
        <f>($F12*V12)*VLOOKUP(V$9,Oppslag!$AT:$AV,2,FALSE)</f>
        <v>0</v>
      </c>
      <c r="R68" s="265">
        <f>($G12*V12)*VLOOKUP(V$9,Oppslag!$AT:$AV,2,FALSE)</f>
        <v>0</v>
      </c>
      <c r="S68" s="158">
        <f>($F12*X12)*VLOOKUP(X$9,Oppslag!$AT:$AV,2,FALSE)</f>
        <v>0</v>
      </c>
      <c r="T68" s="158">
        <f>($G12*X12)*VLOOKUP(X$9,Oppslag!$AT:$AV,2,FALSE)</f>
        <v>0</v>
      </c>
      <c r="U68" s="265">
        <f>($F12*Z12)*VLOOKUP(Z$9,Oppslag!$AT:$AV,2,FALSE)</f>
        <v>0</v>
      </c>
      <c r="V68" s="265">
        <f>($G12*Z12)*VLOOKUP(Z$9,Oppslag!$AT:$AV,2,FALSE)</f>
        <v>0</v>
      </c>
      <c r="W68" s="158">
        <f>($F12*AB12)*VLOOKUP(AB$9,Oppslag!$AT:$AV,2,FALSE)</f>
        <v>0</v>
      </c>
      <c r="X68" s="158">
        <f>($G12*AB12)*VLOOKUP(AB$9,Oppslag!$AT:$AV,2,FALSE)</f>
        <v>0</v>
      </c>
      <c r="Y68" s="265">
        <f>($F12*AD12)*VLOOKUP(AD$9,Oppslag!$AT:$AV,2,FALSE)</f>
        <v>0</v>
      </c>
      <c r="Z68" s="265">
        <f>($G12*AD12)*VLOOKUP(AD$9,Oppslag!$AT:$AV,2,FALSE)</f>
        <v>0</v>
      </c>
      <c r="AA68" s="177">
        <f t="shared" ref="AA68:AA106" si="44">SUM(B68:Z68)</f>
        <v>527377.26470990002</v>
      </c>
    </row>
    <row r="69" spans="2:27" hidden="1" outlineLevel="1" x14ac:dyDescent="0.25">
      <c r="B69" s="177">
        <f t="shared" si="43"/>
        <v>2</v>
      </c>
      <c r="C69" s="159">
        <f>($F13*H13)*VLOOKUP(H$9,Oppslag!$AT:$AV,2,FALSE)</f>
        <v>0</v>
      </c>
      <c r="D69" s="158">
        <f>($G13*H13)*VLOOKUP(H$9,Oppslag!$AT:$AV,2,FALSE)</f>
        <v>0</v>
      </c>
      <c r="E69" s="265">
        <f>($F13*J13)*VLOOKUP(J$9,Oppslag!$AT:$AV,2,FALSE)</f>
        <v>84512.736000000019</v>
      </c>
      <c r="F69" s="265">
        <f>($G13*J13)*VLOOKUP(J$9,Oppslag!$AT:$AV,2,FALSE)</f>
        <v>46448.468000000008</v>
      </c>
      <c r="G69" s="158">
        <f>($F13*L13)*VLOOKUP(L$9,Oppslag!$AT:$AV,2,FALSE)</f>
        <v>87048.118080000015</v>
      </c>
      <c r="H69" s="158">
        <f>($G13*L13)*VLOOKUP(L$9,Oppslag!$AT:$AV,2,FALSE)</f>
        <v>47841.922040000005</v>
      </c>
      <c r="I69" s="265">
        <f>($F13*N13)*VLOOKUP(N$9,Oppslag!$AT:$AV,2,FALSE)</f>
        <v>89659.561622400011</v>
      </c>
      <c r="J69" s="265">
        <f>($G13*N13)*VLOOKUP(N$9,Oppslag!$AT:$AV,2,FALSE)</f>
        <v>49277.17970120001</v>
      </c>
      <c r="K69" s="158">
        <f>($F13*P13)*VLOOKUP(P$9,Oppslag!$AT:$AV,2,FALSE)</f>
        <v>92349.348471072022</v>
      </c>
      <c r="L69" s="158">
        <f>($G13*P13)*VLOOKUP(P$9,Oppslag!$AT:$AV,2,FALSE)</f>
        <v>50755.495092236015</v>
      </c>
      <c r="M69" s="265">
        <f>($F13*R13)*VLOOKUP(R$9,Oppslag!$AT:$AV,2,FALSE)</f>
        <v>0</v>
      </c>
      <c r="N69" s="265">
        <f>($G13*R13)*VLOOKUP(R$9,Oppslag!$AT:$AV,2,FALSE)</f>
        <v>0</v>
      </c>
      <c r="O69" s="158">
        <f>($F13*T13)*VLOOKUP(T$9,Oppslag!$AT:$AV,2,FALSE)</f>
        <v>0</v>
      </c>
      <c r="P69" s="158">
        <f>($G13*T13)*VLOOKUP(T$9,Oppslag!$AT:$AV,2,FALSE)</f>
        <v>0</v>
      </c>
      <c r="Q69" s="265">
        <f>($F13*V13)*VLOOKUP(V$9,Oppslag!$AT:$AV,2,FALSE)</f>
        <v>0</v>
      </c>
      <c r="R69" s="265">
        <f>($G13*V13)*VLOOKUP(V$9,Oppslag!$AT:$AV,2,FALSE)</f>
        <v>0</v>
      </c>
      <c r="S69" s="158">
        <f>($F13*X13)*VLOOKUP(X$9,Oppslag!$AT:$AV,2,FALSE)</f>
        <v>0</v>
      </c>
      <c r="T69" s="158">
        <f>($G13*X13)*VLOOKUP(X$9,Oppslag!$AT:$AV,2,FALSE)</f>
        <v>0</v>
      </c>
      <c r="U69" s="265">
        <f>($F13*Z13)*VLOOKUP(Z$9,Oppslag!$AT:$AV,2,FALSE)</f>
        <v>0</v>
      </c>
      <c r="V69" s="265">
        <f>($G13*Z13)*VLOOKUP(Z$9,Oppslag!$AT:$AV,2,FALSE)</f>
        <v>0</v>
      </c>
      <c r="W69" s="158">
        <f>($F13*AB13)*VLOOKUP(AB$9,Oppslag!$AT:$AV,2,FALSE)</f>
        <v>0</v>
      </c>
      <c r="X69" s="158">
        <f>($G13*AB13)*VLOOKUP(AB$9,Oppslag!$AT:$AV,2,FALSE)</f>
        <v>0</v>
      </c>
      <c r="Y69" s="265">
        <f>($F13*AD13)*VLOOKUP(AD$9,Oppslag!$AT:$AV,2,FALSE)</f>
        <v>0</v>
      </c>
      <c r="Z69" s="265">
        <f>($G13*AD13)*VLOOKUP(AD$9,Oppslag!$AT:$AV,2,FALSE)</f>
        <v>0</v>
      </c>
      <c r="AA69" s="177">
        <f t="shared" si="44"/>
        <v>547894.82900690811</v>
      </c>
    </row>
    <row r="70" spans="2:27" hidden="1" outlineLevel="1" x14ac:dyDescent="0.25">
      <c r="B70" s="177">
        <f t="shared" si="43"/>
        <v>0</v>
      </c>
      <c r="C70" s="159">
        <f>($F14*H14)*VLOOKUP(H$9,Oppslag!$AT:$AV,2,FALSE)</f>
        <v>0</v>
      </c>
      <c r="D70" s="158">
        <f>($G14*H14)*VLOOKUP(H$9,Oppslag!$AT:$AV,2,FALSE)</f>
        <v>0</v>
      </c>
      <c r="E70" s="265">
        <f>($F14*J14)*VLOOKUP(J$9,Oppslag!$AT:$AV,2,FALSE)</f>
        <v>0</v>
      </c>
      <c r="F70" s="265">
        <f>($G14*J14)*VLOOKUP(J$9,Oppslag!$AT:$AV,2,FALSE)</f>
        <v>0</v>
      </c>
      <c r="G70" s="158">
        <f>($F14*L14)*VLOOKUP(L$9,Oppslag!$AT:$AV,2,FALSE)</f>
        <v>0</v>
      </c>
      <c r="H70" s="158">
        <f>($G14*L14)*VLOOKUP(L$9,Oppslag!$AT:$AV,2,FALSE)</f>
        <v>0</v>
      </c>
      <c r="I70" s="265">
        <f>($F14*N14)*VLOOKUP(N$9,Oppslag!$AT:$AV,2,FALSE)</f>
        <v>0</v>
      </c>
      <c r="J70" s="265">
        <f>($G14*N14)*VLOOKUP(N$9,Oppslag!$AT:$AV,2,FALSE)</f>
        <v>0</v>
      </c>
      <c r="K70" s="158">
        <f>($F14*P14)*VLOOKUP(P$9,Oppslag!$AT:$AV,2,FALSE)</f>
        <v>0</v>
      </c>
      <c r="L70" s="158">
        <f>($G14*P14)*VLOOKUP(P$9,Oppslag!$AT:$AV,2,FALSE)</f>
        <v>0</v>
      </c>
      <c r="M70" s="265">
        <f>($F14*R14)*VLOOKUP(R$9,Oppslag!$AT:$AV,2,FALSE)</f>
        <v>0</v>
      </c>
      <c r="N70" s="265">
        <f>($G14*R14)*VLOOKUP(R$9,Oppslag!$AT:$AV,2,FALSE)</f>
        <v>0</v>
      </c>
      <c r="O70" s="158">
        <f>($F14*T14)*VLOOKUP(T$9,Oppslag!$AT:$AV,2,FALSE)</f>
        <v>0</v>
      </c>
      <c r="P70" s="158">
        <f>($G14*T14)*VLOOKUP(T$9,Oppslag!$AT:$AV,2,FALSE)</f>
        <v>0</v>
      </c>
      <c r="Q70" s="265">
        <f>($F14*V14)*VLOOKUP(V$9,Oppslag!$AT:$AV,2,FALSE)</f>
        <v>0</v>
      </c>
      <c r="R70" s="265">
        <f>($G14*V14)*VLOOKUP(V$9,Oppslag!$AT:$AV,2,FALSE)</f>
        <v>0</v>
      </c>
      <c r="S70" s="158">
        <f>($F14*X14)*VLOOKUP(X$9,Oppslag!$AT:$AV,2,FALSE)</f>
        <v>0</v>
      </c>
      <c r="T70" s="158">
        <f>($G14*X14)*VLOOKUP(X$9,Oppslag!$AT:$AV,2,FALSE)</f>
        <v>0</v>
      </c>
      <c r="U70" s="265">
        <f>($F14*Z14)*VLOOKUP(Z$9,Oppslag!$AT:$AV,2,FALSE)</f>
        <v>0</v>
      </c>
      <c r="V70" s="265">
        <f>($G14*Z14)*VLOOKUP(Z$9,Oppslag!$AT:$AV,2,FALSE)</f>
        <v>0</v>
      </c>
      <c r="W70" s="158">
        <f>($F14*AB14)*VLOOKUP(AB$9,Oppslag!$AT:$AV,2,FALSE)</f>
        <v>0</v>
      </c>
      <c r="X70" s="158">
        <f>($G14*AB14)*VLOOKUP(AB$9,Oppslag!$AT:$AV,2,FALSE)</f>
        <v>0</v>
      </c>
      <c r="Y70" s="265">
        <f>($F14*AD14)*VLOOKUP(AD$9,Oppslag!$AT:$AV,2,FALSE)</f>
        <v>0</v>
      </c>
      <c r="Z70" s="265">
        <f>($G14*AD14)*VLOOKUP(AD$9,Oppslag!$AT:$AV,2,FALSE)</f>
        <v>0</v>
      </c>
      <c r="AA70" s="177">
        <f t="shared" si="44"/>
        <v>0</v>
      </c>
    </row>
    <row r="71" spans="2:27" hidden="1" outlineLevel="1" x14ac:dyDescent="0.25">
      <c r="B71" s="177">
        <f t="shared" si="43"/>
        <v>0</v>
      </c>
      <c r="C71" s="159">
        <f>($F15*H15)*VLOOKUP(H$9,Oppslag!$AT:$AV,2,FALSE)</f>
        <v>0</v>
      </c>
      <c r="D71" s="158">
        <f>($G15*H15)*VLOOKUP(H$9,Oppslag!$AT:$AV,2,FALSE)</f>
        <v>0</v>
      </c>
      <c r="E71" s="265">
        <f>($F15*J15)*VLOOKUP(J$9,Oppslag!$AT:$AV,2,FALSE)</f>
        <v>0</v>
      </c>
      <c r="F71" s="265">
        <f>($G15*J15)*VLOOKUP(J$9,Oppslag!$AT:$AV,2,FALSE)</f>
        <v>0</v>
      </c>
      <c r="G71" s="158">
        <f>($F15*L15)*VLOOKUP(L$9,Oppslag!$AT:$AV,2,FALSE)</f>
        <v>0</v>
      </c>
      <c r="H71" s="158">
        <f>($G15*L15)*VLOOKUP(L$9,Oppslag!$AT:$AV,2,FALSE)</f>
        <v>0</v>
      </c>
      <c r="I71" s="265">
        <f>($F15*N15)*VLOOKUP(N$9,Oppslag!$AT:$AV,2,FALSE)</f>
        <v>0</v>
      </c>
      <c r="J71" s="265">
        <f>($G15*N15)*VLOOKUP(N$9,Oppslag!$AT:$AV,2,FALSE)</f>
        <v>0</v>
      </c>
      <c r="K71" s="158">
        <f>($F15*P15)*VLOOKUP(P$9,Oppslag!$AT:$AV,2,FALSE)</f>
        <v>0</v>
      </c>
      <c r="L71" s="158">
        <f>($G15*P15)*VLOOKUP(P$9,Oppslag!$AT:$AV,2,FALSE)</f>
        <v>0</v>
      </c>
      <c r="M71" s="265">
        <f>($F15*R15)*VLOOKUP(R$9,Oppslag!$AT:$AV,2,FALSE)</f>
        <v>0</v>
      </c>
      <c r="N71" s="265">
        <f>($G15*R15)*VLOOKUP(R$9,Oppslag!$AT:$AV,2,FALSE)</f>
        <v>0</v>
      </c>
      <c r="O71" s="158">
        <f>($F15*T15)*VLOOKUP(T$9,Oppslag!$AT:$AV,2,FALSE)</f>
        <v>0</v>
      </c>
      <c r="P71" s="158">
        <f>($G15*T15)*VLOOKUP(T$9,Oppslag!$AT:$AV,2,FALSE)</f>
        <v>0</v>
      </c>
      <c r="Q71" s="265">
        <f>($F15*V15)*VLOOKUP(V$9,Oppslag!$AT:$AV,2,FALSE)</f>
        <v>0</v>
      </c>
      <c r="R71" s="265">
        <f>($G15*V15)*VLOOKUP(V$9,Oppslag!$AT:$AV,2,FALSE)</f>
        <v>0</v>
      </c>
      <c r="S71" s="158">
        <f>($F15*X15)*VLOOKUP(X$9,Oppslag!$AT:$AV,2,FALSE)</f>
        <v>0</v>
      </c>
      <c r="T71" s="158">
        <f>($G15*X15)*VLOOKUP(X$9,Oppslag!$AT:$AV,2,FALSE)</f>
        <v>0</v>
      </c>
      <c r="U71" s="265">
        <f>($F15*Z15)*VLOOKUP(Z$9,Oppslag!$AT:$AV,2,FALSE)</f>
        <v>0</v>
      </c>
      <c r="V71" s="265">
        <f>($G15*Z15)*VLOOKUP(Z$9,Oppslag!$AT:$AV,2,FALSE)</f>
        <v>0</v>
      </c>
      <c r="W71" s="158">
        <f>($F15*AB15)*VLOOKUP(AB$9,Oppslag!$AT:$AV,2,FALSE)</f>
        <v>0</v>
      </c>
      <c r="X71" s="158">
        <f>($G15*AB15)*VLOOKUP(AB$9,Oppslag!$AT:$AV,2,FALSE)</f>
        <v>0</v>
      </c>
      <c r="Y71" s="265">
        <f>($F15*AD15)*VLOOKUP(AD$9,Oppslag!$AT:$AV,2,FALSE)</f>
        <v>0</v>
      </c>
      <c r="Z71" s="265">
        <f>($G15*AD15)*VLOOKUP(AD$9,Oppslag!$AT:$AV,2,FALSE)</f>
        <v>0</v>
      </c>
      <c r="AA71" s="177">
        <f t="shared" si="44"/>
        <v>0</v>
      </c>
    </row>
    <row r="72" spans="2:27" hidden="1" outlineLevel="1" x14ac:dyDescent="0.25">
      <c r="B72" s="177">
        <f t="shared" si="43"/>
        <v>0</v>
      </c>
      <c r="C72" s="159">
        <f>($F16*H16)*VLOOKUP(H$9,Oppslag!$AT:$AV,2,FALSE)</f>
        <v>0</v>
      </c>
      <c r="D72" s="158">
        <f>($G16*H16)*VLOOKUP(H$9,Oppslag!$AT:$AV,2,FALSE)</f>
        <v>0</v>
      </c>
      <c r="E72" s="265">
        <f>($F16*J16)*VLOOKUP(J$9,Oppslag!$AT:$AV,2,FALSE)</f>
        <v>0</v>
      </c>
      <c r="F72" s="265">
        <f>($G16*J16)*VLOOKUP(J$9,Oppslag!$AT:$AV,2,FALSE)</f>
        <v>0</v>
      </c>
      <c r="G72" s="158">
        <f>($F16*L16)*VLOOKUP(L$9,Oppslag!$AT:$AV,2,FALSE)</f>
        <v>0</v>
      </c>
      <c r="H72" s="158">
        <f>($G16*L16)*VLOOKUP(L$9,Oppslag!$AT:$AV,2,FALSE)</f>
        <v>0</v>
      </c>
      <c r="I72" s="265">
        <f>($F16*N16)*VLOOKUP(N$9,Oppslag!$AT:$AV,2,FALSE)</f>
        <v>0</v>
      </c>
      <c r="J72" s="265">
        <f>($G16*N16)*VLOOKUP(N$9,Oppslag!$AT:$AV,2,FALSE)</f>
        <v>0</v>
      </c>
      <c r="K72" s="158">
        <f>($F16*P16)*VLOOKUP(P$9,Oppslag!$AT:$AV,2,FALSE)</f>
        <v>0</v>
      </c>
      <c r="L72" s="158">
        <f>($G16*P16)*VLOOKUP(P$9,Oppslag!$AT:$AV,2,FALSE)</f>
        <v>0</v>
      </c>
      <c r="M72" s="265">
        <f>($F16*R16)*VLOOKUP(R$9,Oppslag!$AT:$AV,2,FALSE)</f>
        <v>0</v>
      </c>
      <c r="N72" s="265">
        <f>($G16*R16)*VLOOKUP(R$9,Oppslag!$AT:$AV,2,FALSE)</f>
        <v>0</v>
      </c>
      <c r="O72" s="158">
        <f>($F16*T16)*VLOOKUP(T$9,Oppslag!$AT:$AV,2,FALSE)</f>
        <v>0</v>
      </c>
      <c r="P72" s="158">
        <f>($G16*T16)*VLOOKUP(T$9,Oppslag!$AT:$AV,2,FALSE)</f>
        <v>0</v>
      </c>
      <c r="Q72" s="265">
        <f>($F16*V16)*VLOOKUP(V$9,Oppslag!$AT:$AV,2,FALSE)</f>
        <v>0</v>
      </c>
      <c r="R72" s="265">
        <f>($G16*V16)*VLOOKUP(V$9,Oppslag!$AT:$AV,2,FALSE)</f>
        <v>0</v>
      </c>
      <c r="S72" s="158">
        <f>($F16*X16)*VLOOKUP(X$9,Oppslag!$AT:$AV,2,FALSE)</f>
        <v>0</v>
      </c>
      <c r="T72" s="158">
        <f>($G16*X16)*VLOOKUP(X$9,Oppslag!$AT:$AV,2,FALSE)</f>
        <v>0</v>
      </c>
      <c r="U72" s="265">
        <f>($F16*Z16)*VLOOKUP(Z$9,Oppslag!$AT:$AV,2,FALSE)</f>
        <v>0</v>
      </c>
      <c r="V72" s="265">
        <f>($G16*Z16)*VLOOKUP(Z$9,Oppslag!$AT:$AV,2,FALSE)</f>
        <v>0</v>
      </c>
      <c r="W72" s="158">
        <f>($F16*AB16)*VLOOKUP(AB$9,Oppslag!$AT:$AV,2,FALSE)</f>
        <v>0</v>
      </c>
      <c r="X72" s="158">
        <f>($G16*AB16)*VLOOKUP(AB$9,Oppslag!$AT:$AV,2,FALSE)</f>
        <v>0</v>
      </c>
      <c r="Y72" s="265">
        <f>($F16*AD16)*VLOOKUP(AD$9,Oppslag!$AT:$AV,2,FALSE)</f>
        <v>0</v>
      </c>
      <c r="Z72" s="265">
        <f>($G16*AD16)*VLOOKUP(AD$9,Oppslag!$AT:$AV,2,FALSE)</f>
        <v>0</v>
      </c>
      <c r="AA72" s="177">
        <f t="shared" si="44"/>
        <v>0</v>
      </c>
    </row>
    <row r="73" spans="2:27" hidden="1" outlineLevel="1" x14ac:dyDescent="0.25">
      <c r="B73" s="177">
        <f t="shared" si="43"/>
        <v>0</v>
      </c>
      <c r="C73" s="159">
        <f>($F17*H17)*VLOOKUP(H$9,Oppslag!$AT:$AV,2,FALSE)</f>
        <v>0</v>
      </c>
      <c r="D73" s="158">
        <f>($G17*H17)*VLOOKUP(H$9,Oppslag!$AT:$AV,2,FALSE)</f>
        <v>0</v>
      </c>
      <c r="E73" s="265">
        <f>($F17*J17)*VLOOKUP(J$9,Oppslag!$AT:$AV,2,FALSE)</f>
        <v>0</v>
      </c>
      <c r="F73" s="265">
        <f>($G17*J17)*VLOOKUP(J$9,Oppslag!$AT:$AV,2,FALSE)</f>
        <v>0</v>
      </c>
      <c r="G73" s="158">
        <f>($F17*L17)*VLOOKUP(L$9,Oppslag!$AT:$AV,2,FALSE)</f>
        <v>0</v>
      </c>
      <c r="H73" s="158">
        <f>($G17*L17)*VLOOKUP(L$9,Oppslag!$AT:$AV,2,FALSE)</f>
        <v>0</v>
      </c>
      <c r="I73" s="265">
        <f>($F17*N17)*VLOOKUP(N$9,Oppslag!$AT:$AV,2,FALSE)</f>
        <v>0</v>
      </c>
      <c r="J73" s="265">
        <f>($G17*N17)*VLOOKUP(N$9,Oppslag!$AT:$AV,2,FALSE)</f>
        <v>0</v>
      </c>
      <c r="K73" s="158">
        <f>($F17*P17)*VLOOKUP(P$9,Oppslag!$AT:$AV,2,FALSE)</f>
        <v>0</v>
      </c>
      <c r="L73" s="158">
        <f>($G17*P17)*VLOOKUP(P$9,Oppslag!$AT:$AV,2,FALSE)</f>
        <v>0</v>
      </c>
      <c r="M73" s="265">
        <f>($F17*R17)*VLOOKUP(R$9,Oppslag!$AT:$AV,2,FALSE)</f>
        <v>0</v>
      </c>
      <c r="N73" s="265">
        <f>($G17*R17)*VLOOKUP(R$9,Oppslag!$AT:$AV,2,FALSE)</f>
        <v>0</v>
      </c>
      <c r="O73" s="158">
        <f>($F17*T17)*VLOOKUP(T$9,Oppslag!$AT:$AV,2,FALSE)</f>
        <v>0</v>
      </c>
      <c r="P73" s="158">
        <f>($G17*T17)*VLOOKUP(T$9,Oppslag!$AT:$AV,2,FALSE)</f>
        <v>0</v>
      </c>
      <c r="Q73" s="265">
        <f>($F17*V17)*VLOOKUP(V$9,Oppslag!$AT:$AV,2,FALSE)</f>
        <v>0</v>
      </c>
      <c r="R73" s="265">
        <f>($G17*V17)*VLOOKUP(V$9,Oppslag!$AT:$AV,2,FALSE)</f>
        <v>0</v>
      </c>
      <c r="S73" s="158">
        <f>($F17*X17)*VLOOKUP(X$9,Oppslag!$AT:$AV,2,FALSE)</f>
        <v>0</v>
      </c>
      <c r="T73" s="158">
        <f>($G17*X17)*VLOOKUP(X$9,Oppslag!$AT:$AV,2,FALSE)</f>
        <v>0</v>
      </c>
      <c r="U73" s="265">
        <f>($F17*Z17)*VLOOKUP(Z$9,Oppslag!$AT:$AV,2,FALSE)</f>
        <v>0</v>
      </c>
      <c r="V73" s="265">
        <f>($G17*Z17)*VLOOKUP(Z$9,Oppslag!$AT:$AV,2,FALSE)</f>
        <v>0</v>
      </c>
      <c r="W73" s="158">
        <f>($F17*AB17)*VLOOKUP(AB$9,Oppslag!$AT:$AV,2,FALSE)</f>
        <v>0</v>
      </c>
      <c r="X73" s="158">
        <f>($G17*AB17)*VLOOKUP(AB$9,Oppslag!$AT:$AV,2,FALSE)</f>
        <v>0</v>
      </c>
      <c r="Y73" s="265">
        <f>($F17*AD17)*VLOOKUP(AD$9,Oppslag!$AT:$AV,2,FALSE)</f>
        <v>0</v>
      </c>
      <c r="Z73" s="265">
        <f>($G17*AD17)*VLOOKUP(AD$9,Oppslag!$AT:$AV,2,FALSE)</f>
        <v>0</v>
      </c>
      <c r="AA73" s="177">
        <f t="shared" si="44"/>
        <v>0</v>
      </c>
    </row>
    <row r="74" spans="2:27" hidden="1" outlineLevel="1" x14ac:dyDescent="0.25">
      <c r="B74" s="177">
        <f t="shared" si="43"/>
        <v>0</v>
      </c>
      <c r="C74" s="159">
        <f>($F18*H18)*VLOOKUP(H$9,Oppslag!$AT:$AV,2,FALSE)</f>
        <v>0</v>
      </c>
      <c r="D74" s="158">
        <f>($G18*H18)*VLOOKUP(H$9,Oppslag!$AT:$AV,2,FALSE)</f>
        <v>0</v>
      </c>
      <c r="E74" s="265">
        <f>($F18*J18)*VLOOKUP(J$9,Oppslag!$AT:$AV,2,FALSE)</f>
        <v>0</v>
      </c>
      <c r="F74" s="265">
        <f>($G18*J18)*VLOOKUP(J$9,Oppslag!$AT:$AV,2,FALSE)</f>
        <v>0</v>
      </c>
      <c r="G74" s="158">
        <f>($F18*L18)*VLOOKUP(L$9,Oppslag!$AT:$AV,2,FALSE)</f>
        <v>0</v>
      </c>
      <c r="H74" s="158">
        <f>($G18*L18)*VLOOKUP(L$9,Oppslag!$AT:$AV,2,FALSE)</f>
        <v>0</v>
      </c>
      <c r="I74" s="265">
        <f>($F18*N18)*VLOOKUP(N$9,Oppslag!$AT:$AV,2,FALSE)</f>
        <v>0</v>
      </c>
      <c r="J74" s="265">
        <f>($G18*N18)*VLOOKUP(N$9,Oppslag!$AT:$AV,2,FALSE)</f>
        <v>0</v>
      </c>
      <c r="K74" s="158">
        <f>($F18*P18)*VLOOKUP(P$9,Oppslag!$AT:$AV,2,FALSE)</f>
        <v>0</v>
      </c>
      <c r="L74" s="158">
        <f>($G18*P18)*VLOOKUP(P$9,Oppslag!$AT:$AV,2,FALSE)</f>
        <v>0</v>
      </c>
      <c r="M74" s="265">
        <f>($F18*R18)*VLOOKUP(R$9,Oppslag!$AT:$AV,2,FALSE)</f>
        <v>0</v>
      </c>
      <c r="N74" s="265">
        <f>($G18*R18)*VLOOKUP(R$9,Oppslag!$AT:$AV,2,FALSE)</f>
        <v>0</v>
      </c>
      <c r="O74" s="158">
        <f>($F18*T18)*VLOOKUP(T$9,Oppslag!$AT:$AV,2,FALSE)</f>
        <v>0</v>
      </c>
      <c r="P74" s="158">
        <f>($G18*T18)*VLOOKUP(T$9,Oppslag!$AT:$AV,2,FALSE)</f>
        <v>0</v>
      </c>
      <c r="Q74" s="265">
        <f>($F18*V18)*VLOOKUP(V$9,Oppslag!$AT:$AV,2,FALSE)</f>
        <v>0</v>
      </c>
      <c r="R74" s="265">
        <f>($G18*V18)*VLOOKUP(V$9,Oppslag!$AT:$AV,2,FALSE)</f>
        <v>0</v>
      </c>
      <c r="S74" s="158">
        <f>($F18*X18)*VLOOKUP(X$9,Oppslag!$AT:$AV,2,FALSE)</f>
        <v>0</v>
      </c>
      <c r="T74" s="158">
        <f>($G18*X18)*VLOOKUP(X$9,Oppslag!$AT:$AV,2,FALSE)</f>
        <v>0</v>
      </c>
      <c r="U74" s="265">
        <f>($F18*Z18)*VLOOKUP(Z$9,Oppslag!$AT:$AV,2,FALSE)</f>
        <v>0</v>
      </c>
      <c r="V74" s="265">
        <f>($G18*Z18)*VLOOKUP(Z$9,Oppslag!$AT:$AV,2,FALSE)</f>
        <v>0</v>
      </c>
      <c r="W74" s="158">
        <f>($F18*AB18)*VLOOKUP(AB$9,Oppslag!$AT:$AV,2,FALSE)</f>
        <v>0</v>
      </c>
      <c r="X74" s="158">
        <f>($G18*AB18)*VLOOKUP(AB$9,Oppslag!$AT:$AV,2,FALSE)</f>
        <v>0</v>
      </c>
      <c r="Y74" s="265">
        <f>($F18*AD18)*VLOOKUP(AD$9,Oppslag!$AT:$AV,2,FALSE)</f>
        <v>0</v>
      </c>
      <c r="Z74" s="265">
        <f>($G18*AD18)*VLOOKUP(AD$9,Oppslag!$AT:$AV,2,FALSE)</f>
        <v>0</v>
      </c>
      <c r="AA74" s="177">
        <f t="shared" si="44"/>
        <v>0</v>
      </c>
    </row>
    <row r="75" spans="2:27" hidden="1" outlineLevel="1" x14ac:dyDescent="0.25">
      <c r="B75" s="177">
        <f t="shared" si="43"/>
        <v>0</v>
      </c>
      <c r="C75" s="159">
        <f>($F19*H19)*VLOOKUP(H$9,Oppslag!$AT:$AV,2,FALSE)</f>
        <v>0</v>
      </c>
      <c r="D75" s="158">
        <f>($G19*H19)*VLOOKUP(H$9,Oppslag!$AT:$AV,2,FALSE)</f>
        <v>0</v>
      </c>
      <c r="E75" s="265">
        <f>($F19*J19)*VLOOKUP(J$9,Oppslag!$AT:$AV,2,FALSE)</f>
        <v>0</v>
      </c>
      <c r="F75" s="265">
        <f>($G19*J19)*VLOOKUP(J$9,Oppslag!$AT:$AV,2,FALSE)</f>
        <v>0</v>
      </c>
      <c r="G75" s="158">
        <f>($F19*L19)*VLOOKUP(L$9,Oppslag!$AT:$AV,2,FALSE)</f>
        <v>0</v>
      </c>
      <c r="H75" s="158">
        <f>($G19*L19)*VLOOKUP(L$9,Oppslag!$AT:$AV,2,FALSE)</f>
        <v>0</v>
      </c>
      <c r="I75" s="265">
        <f>($F19*N19)*VLOOKUP(N$9,Oppslag!$AT:$AV,2,FALSE)</f>
        <v>0</v>
      </c>
      <c r="J75" s="265">
        <f>($G19*N19)*VLOOKUP(N$9,Oppslag!$AT:$AV,2,FALSE)</f>
        <v>0</v>
      </c>
      <c r="K75" s="158">
        <f>($F19*P19)*VLOOKUP(P$9,Oppslag!$AT:$AV,2,FALSE)</f>
        <v>0</v>
      </c>
      <c r="L75" s="158">
        <f>($G19*P19)*VLOOKUP(P$9,Oppslag!$AT:$AV,2,FALSE)</f>
        <v>0</v>
      </c>
      <c r="M75" s="265">
        <f>($F19*R19)*VLOOKUP(R$9,Oppslag!$AT:$AV,2,FALSE)</f>
        <v>0</v>
      </c>
      <c r="N75" s="265">
        <f>($G19*R19)*VLOOKUP(R$9,Oppslag!$AT:$AV,2,FALSE)</f>
        <v>0</v>
      </c>
      <c r="O75" s="158">
        <f>($F19*T19)*VLOOKUP(T$9,Oppslag!$AT:$AV,2,FALSE)</f>
        <v>0</v>
      </c>
      <c r="P75" s="158">
        <f>($G19*T19)*VLOOKUP(T$9,Oppslag!$AT:$AV,2,FALSE)</f>
        <v>0</v>
      </c>
      <c r="Q75" s="265">
        <f>($F19*V19)*VLOOKUP(V$9,Oppslag!$AT:$AV,2,FALSE)</f>
        <v>0</v>
      </c>
      <c r="R75" s="265">
        <f>($G19*V19)*VLOOKUP(V$9,Oppslag!$AT:$AV,2,FALSE)</f>
        <v>0</v>
      </c>
      <c r="S75" s="158">
        <f>($F19*X19)*VLOOKUP(X$9,Oppslag!$AT:$AV,2,FALSE)</f>
        <v>0</v>
      </c>
      <c r="T75" s="158">
        <f>($G19*X19)*VLOOKUP(X$9,Oppslag!$AT:$AV,2,FALSE)</f>
        <v>0</v>
      </c>
      <c r="U75" s="265">
        <f>($F19*Z19)*VLOOKUP(Z$9,Oppslag!$AT:$AV,2,FALSE)</f>
        <v>0</v>
      </c>
      <c r="V75" s="265">
        <f>($G19*Z19)*VLOOKUP(Z$9,Oppslag!$AT:$AV,2,FALSE)</f>
        <v>0</v>
      </c>
      <c r="W75" s="158">
        <f>($F19*AB19)*VLOOKUP(AB$9,Oppslag!$AT:$AV,2,FALSE)</f>
        <v>0</v>
      </c>
      <c r="X75" s="158">
        <f>($G19*AB19)*VLOOKUP(AB$9,Oppslag!$AT:$AV,2,FALSE)</f>
        <v>0</v>
      </c>
      <c r="Y75" s="265">
        <f>($F19*AD19)*VLOOKUP(AD$9,Oppslag!$AT:$AV,2,FALSE)</f>
        <v>0</v>
      </c>
      <c r="Z75" s="265">
        <f>($G19*AD19)*VLOOKUP(AD$9,Oppslag!$AT:$AV,2,FALSE)</f>
        <v>0</v>
      </c>
      <c r="AA75" s="177">
        <f t="shared" si="44"/>
        <v>0</v>
      </c>
    </row>
    <row r="76" spans="2:27" hidden="1" outlineLevel="1" x14ac:dyDescent="0.25">
      <c r="B76" s="177">
        <f t="shared" si="43"/>
        <v>0</v>
      </c>
      <c r="C76" s="159">
        <f>($F20*H20)*VLOOKUP(H$9,Oppslag!$AT:$AV,2,FALSE)</f>
        <v>0</v>
      </c>
      <c r="D76" s="158">
        <f>($G20*H20)*VLOOKUP(H$9,Oppslag!$AT:$AV,2,FALSE)</f>
        <v>0</v>
      </c>
      <c r="E76" s="265">
        <f>($F20*J20)*VLOOKUP(J$9,Oppslag!$AT:$AV,2,FALSE)</f>
        <v>0</v>
      </c>
      <c r="F76" s="265">
        <f>($G20*J20)*VLOOKUP(J$9,Oppslag!$AT:$AV,2,FALSE)</f>
        <v>0</v>
      </c>
      <c r="G76" s="158">
        <f>($F20*L20)*VLOOKUP(L$9,Oppslag!$AT:$AV,2,FALSE)</f>
        <v>0</v>
      </c>
      <c r="H76" s="158">
        <f>($G20*L20)*VLOOKUP(L$9,Oppslag!$AT:$AV,2,FALSE)</f>
        <v>0</v>
      </c>
      <c r="I76" s="265">
        <f>($F20*N20)*VLOOKUP(N$9,Oppslag!$AT:$AV,2,FALSE)</f>
        <v>0</v>
      </c>
      <c r="J76" s="265">
        <f>($G20*N20)*VLOOKUP(N$9,Oppslag!$AT:$AV,2,FALSE)</f>
        <v>0</v>
      </c>
      <c r="K76" s="158">
        <f>($F20*P20)*VLOOKUP(P$9,Oppslag!$AT:$AV,2,FALSE)</f>
        <v>0</v>
      </c>
      <c r="L76" s="158">
        <f>($G20*P20)*VLOOKUP(P$9,Oppslag!$AT:$AV,2,FALSE)</f>
        <v>0</v>
      </c>
      <c r="M76" s="265">
        <f>($F20*R20)*VLOOKUP(R$9,Oppslag!$AT:$AV,2,FALSE)</f>
        <v>0</v>
      </c>
      <c r="N76" s="265">
        <f>($G20*R20)*VLOOKUP(R$9,Oppslag!$AT:$AV,2,FALSE)</f>
        <v>0</v>
      </c>
      <c r="O76" s="158">
        <f>($F20*T20)*VLOOKUP(T$9,Oppslag!$AT:$AV,2,FALSE)</f>
        <v>0</v>
      </c>
      <c r="P76" s="158">
        <f>($G20*T20)*VLOOKUP(T$9,Oppslag!$AT:$AV,2,FALSE)</f>
        <v>0</v>
      </c>
      <c r="Q76" s="265">
        <f>($F20*V20)*VLOOKUP(V$9,Oppslag!$AT:$AV,2,FALSE)</f>
        <v>0</v>
      </c>
      <c r="R76" s="265">
        <f>($G20*V20)*VLOOKUP(V$9,Oppslag!$AT:$AV,2,FALSE)</f>
        <v>0</v>
      </c>
      <c r="S76" s="158">
        <f>($F20*X20)*VLOOKUP(X$9,Oppslag!$AT:$AV,2,FALSE)</f>
        <v>0</v>
      </c>
      <c r="T76" s="158">
        <f>($G20*X20)*VLOOKUP(X$9,Oppslag!$AT:$AV,2,FALSE)</f>
        <v>0</v>
      </c>
      <c r="U76" s="265">
        <f>($F20*Z20)*VLOOKUP(Z$9,Oppslag!$AT:$AV,2,FALSE)</f>
        <v>0</v>
      </c>
      <c r="V76" s="265">
        <f>($G20*Z20)*VLOOKUP(Z$9,Oppslag!$AT:$AV,2,FALSE)</f>
        <v>0</v>
      </c>
      <c r="W76" s="158">
        <f>($F20*AB20)*VLOOKUP(AB$9,Oppslag!$AT:$AV,2,FALSE)</f>
        <v>0</v>
      </c>
      <c r="X76" s="158">
        <f>($G20*AB20)*VLOOKUP(AB$9,Oppslag!$AT:$AV,2,FALSE)</f>
        <v>0</v>
      </c>
      <c r="Y76" s="265">
        <f>($F20*AD20)*VLOOKUP(AD$9,Oppslag!$AT:$AV,2,FALSE)</f>
        <v>0</v>
      </c>
      <c r="Z76" s="265">
        <f>($G20*AD20)*VLOOKUP(AD$9,Oppslag!$AT:$AV,2,FALSE)</f>
        <v>0</v>
      </c>
      <c r="AA76" s="177">
        <f t="shared" si="44"/>
        <v>0</v>
      </c>
    </row>
    <row r="77" spans="2:27" hidden="1" outlineLevel="1" x14ac:dyDescent="0.25">
      <c r="B77" s="177">
        <f t="shared" si="43"/>
        <v>0</v>
      </c>
      <c r="C77" s="159">
        <f>($F21*H21)*VLOOKUP(H$9,Oppslag!$AT:$AV,2,FALSE)</f>
        <v>0</v>
      </c>
      <c r="D77" s="158">
        <f>($G21*H21)*VLOOKUP(H$9,Oppslag!$AT:$AV,2,FALSE)</f>
        <v>0</v>
      </c>
      <c r="E77" s="265">
        <f>($F21*J21)*VLOOKUP(J$9,Oppslag!$AT:$AV,2,FALSE)</f>
        <v>0</v>
      </c>
      <c r="F77" s="265">
        <f>($G21*J21)*VLOOKUP(J$9,Oppslag!$AT:$AV,2,FALSE)</f>
        <v>0</v>
      </c>
      <c r="G77" s="158">
        <f>($F21*L21)*VLOOKUP(L$9,Oppslag!$AT:$AV,2,FALSE)</f>
        <v>0</v>
      </c>
      <c r="H77" s="158">
        <f>($G21*L21)*VLOOKUP(L$9,Oppslag!$AT:$AV,2,FALSE)</f>
        <v>0</v>
      </c>
      <c r="I77" s="265">
        <f>($F21*N21)*VLOOKUP(N$9,Oppslag!$AT:$AV,2,FALSE)</f>
        <v>0</v>
      </c>
      <c r="J77" s="265">
        <f>($G21*N21)*VLOOKUP(N$9,Oppslag!$AT:$AV,2,FALSE)</f>
        <v>0</v>
      </c>
      <c r="K77" s="158">
        <f>($F21*P21)*VLOOKUP(P$9,Oppslag!$AT:$AV,2,FALSE)</f>
        <v>0</v>
      </c>
      <c r="L77" s="158">
        <f>($G21*P21)*VLOOKUP(P$9,Oppslag!$AT:$AV,2,FALSE)</f>
        <v>0</v>
      </c>
      <c r="M77" s="265">
        <f>($F21*R21)*VLOOKUP(R$9,Oppslag!$AT:$AV,2,FALSE)</f>
        <v>0</v>
      </c>
      <c r="N77" s="265">
        <f>($G21*R21)*VLOOKUP(R$9,Oppslag!$AT:$AV,2,FALSE)</f>
        <v>0</v>
      </c>
      <c r="O77" s="158">
        <f>($F21*T21)*VLOOKUP(T$9,Oppslag!$AT:$AV,2,FALSE)</f>
        <v>0</v>
      </c>
      <c r="P77" s="158">
        <f>($G21*T21)*VLOOKUP(T$9,Oppslag!$AT:$AV,2,FALSE)</f>
        <v>0</v>
      </c>
      <c r="Q77" s="265">
        <f>($F21*V21)*VLOOKUP(V$9,Oppslag!$AT:$AV,2,FALSE)</f>
        <v>0</v>
      </c>
      <c r="R77" s="265">
        <f>($G21*V21)*VLOOKUP(V$9,Oppslag!$AT:$AV,2,FALSE)</f>
        <v>0</v>
      </c>
      <c r="S77" s="158">
        <f>($F21*X21)*VLOOKUP(X$9,Oppslag!$AT:$AV,2,FALSE)</f>
        <v>0</v>
      </c>
      <c r="T77" s="158">
        <f>($G21*X21)*VLOOKUP(X$9,Oppslag!$AT:$AV,2,FALSE)</f>
        <v>0</v>
      </c>
      <c r="U77" s="265">
        <f>($F21*Z21)*VLOOKUP(Z$9,Oppslag!$AT:$AV,2,FALSE)</f>
        <v>0</v>
      </c>
      <c r="V77" s="265">
        <f>($G21*Z21)*VLOOKUP(Z$9,Oppslag!$AT:$AV,2,FALSE)</f>
        <v>0</v>
      </c>
      <c r="W77" s="158">
        <f>($F21*AB21)*VLOOKUP(AB$9,Oppslag!$AT:$AV,2,FALSE)</f>
        <v>0</v>
      </c>
      <c r="X77" s="158">
        <f>($G21*AB21)*VLOOKUP(AB$9,Oppslag!$AT:$AV,2,FALSE)</f>
        <v>0</v>
      </c>
      <c r="Y77" s="265">
        <f>($F21*AD21)*VLOOKUP(AD$9,Oppslag!$AT:$AV,2,FALSE)</f>
        <v>0</v>
      </c>
      <c r="Z77" s="265">
        <f>($G21*AD21)*VLOOKUP(AD$9,Oppslag!$AT:$AV,2,FALSE)</f>
        <v>0</v>
      </c>
      <c r="AA77" s="177">
        <f t="shared" si="44"/>
        <v>0</v>
      </c>
    </row>
    <row r="78" spans="2:27" hidden="1" outlineLevel="1" x14ac:dyDescent="0.25">
      <c r="B78" s="177">
        <f t="shared" si="43"/>
        <v>0</v>
      </c>
      <c r="C78" s="159">
        <f>($F22*H22)*VLOOKUP(H$9,Oppslag!$AT:$AV,2,FALSE)</f>
        <v>0</v>
      </c>
      <c r="D78" s="158">
        <f>($G22*H22)*VLOOKUP(H$9,Oppslag!$AT:$AV,2,FALSE)</f>
        <v>0</v>
      </c>
      <c r="E78" s="265">
        <f>($F22*J22)*VLOOKUP(J$9,Oppslag!$AT:$AV,2,FALSE)</f>
        <v>0</v>
      </c>
      <c r="F78" s="265">
        <f>($G22*J22)*VLOOKUP(J$9,Oppslag!$AT:$AV,2,FALSE)</f>
        <v>0</v>
      </c>
      <c r="G78" s="158">
        <f>($F22*L22)*VLOOKUP(L$9,Oppslag!$AT:$AV,2,FALSE)</f>
        <v>0</v>
      </c>
      <c r="H78" s="158">
        <f>($G22*L22)*VLOOKUP(L$9,Oppslag!$AT:$AV,2,FALSE)</f>
        <v>0</v>
      </c>
      <c r="I78" s="265">
        <f>($F22*N22)*VLOOKUP(N$9,Oppslag!$AT:$AV,2,FALSE)</f>
        <v>0</v>
      </c>
      <c r="J78" s="265">
        <f>($G22*N22)*VLOOKUP(N$9,Oppslag!$AT:$AV,2,FALSE)</f>
        <v>0</v>
      </c>
      <c r="K78" s="158">
        <f>($F22*P22)*VLOOKUP(P$9,Oppslag!$AT:$AV,2,FALSE)</f>
        <v>0</v>
      </c>
      <c r="L78" s="158">
        <f>($G22*P22)*VLOOKUP(P$9,Oppslag!$AT:$AV,2,FALSE)</f>
        <v>0</v>
      </c>
      <c r="M78" s="265">
        <f>($F22*R22)*VLOOKUP(R$9,Oppslag!$AT:$AV,2,FALSE)</f>
        <v>0</v>
      </c>
      <c r="N78" s="265">
        <f>($G22*R22)*VLOOKUP(R$9,Oppslag!$AT:$AV,2,FALSE)</f>
        <v>0</v>
      </c>
      <c r="O78" s="158">
        <f>($F22*T22)*VLOOKUP(T$9,Oppslag!$AT:$AV,2,FALSE)</f>
        <v>0</v>
      </c>
      <c r="P78" s="158">
        <f>($G22*T22)*VLOOKUP(T$9,Oppslag!$AT:$AV,2,FALSE)</f>
        <v>0</v>
      </c>
      <c r="Q78" s="265">
        <f>($F22*V22)*VLOOKUP(V$9,Oppslag!$AT:$AV,2,FALSE)</f>
        <v>0</v>
      </c>
      <c r="R78" s="265">
        <f>($G22*V22)*VLOOKUP(V$9,Oppslag!$AT:$AV,2,FALSE)</f>
        <v>0</v>
      </c>
      <c r="S78" s="158">
        <f>($F22*X22)*VLOOKUP(X$9,Oppslag!$AT:$AV,2,FALSE)</f>
        <v>0</v>
      </c>
      <c r="T78" s="158">
        <f>($G22*X22)*VLOOKUP(X$9,Oppslag!$AT:$AV,2,FALSE)</f>
        <v>0</v>
      </c>
      <c r="U78" s="265">
        <f>($F22*Z22)*VLOOKUP(Z$9,Oppslag!$AT:$AV,2,FALSE)</f>
        <v>0</v>
      </c>
      <c r="V78" s="265">
        <f>($G22*Z22)*VLOOKUP(Z$9,Oppslag!$AT:$AV,2,FALSE)</f>
        <v>0</v>
      </c>
      <c r="W78" s="158">
        <f>($F22*AB22)*VLOOKUP(AB$9,Oppslag!$AT:$AV,2,FALSE)</f>
        <v>0</v>
      </c>
      <c r="X78" s="158">
        <f>($G22*AB22)*VLOOKUP(AB$9,Oppslag!$AT:$AV,2,FALSE)</f>
        <v>0</v>
      </c>
      <c r="Y78" s="265">
        <f>($F22*AD22)*VLOOKUP(AD$9,Oppslag!$AT:$AV,2,FALSE)</f>
        <v>0</v>
      </c>
      <c r="Z78" s="265">
        <f>($G22*AD22)*VLOOKUP(AD$9,Oppslag!$AT:$AV,2,FALSE)</f>
        <v>0</v>
      </c>
      <c r="AA78" s="177">
        <f t="shared" si="44"/>
        <v>0</v>
      </c>
    </row>
    <row r="79" spans="2:27" hidden="1" outlineLevel="1" x14ac:dyDescent="0.25">
      <c r="B79" s="177">
        <f t="shared" si="43"/>
        <v>0</v>
      </c>
      <c r="C79" s="159">
        <f>($F23*H23)*VLOOKUP(H$9,Oppslag!$AT:$AV,2,FALSE)</f>
        <v>0</v>
      </c>
      <c r="D79" s="158">
        <f>($G23*H23)*VLOOKUP(H$9,Oppslag!$AT:$AV,2,FALSE)</f>
        <v>0</v>
      </c>
      <c r="E79" s="265">
        <f>($F23*J23)*VLOOKUP(J$9,Oppslag!$AT:$AV,2,FALSE)</f>
        <v>0</v>
      </c>
      <c r="F79" s="265">
        <f>($G23*J23)*VLOOKUP(J$9,Oppslag!$AT:$AV,2,FALSE)</f>
        <v>0</v>
      </c>
      <c r="G79" s="158">
        <f>($F23*L23)*VLOOKUP(L$9,Oppslag!$AT:$AV,2,FALSE)</f>
        <v>0</v>
      </c>
      <c r="H79" s="158">
        <f>($G23*L23)*VLOOKUP(L$9,Oppslag!$AT:$AV,2,FALSE)</f>
        <v>0</v>
      </c>
      <c r="I79" s="265">
        <f>($F23*N23)*VLOOKUP(N$9,Oppslag!$AT:$AV,2,FALSE)</f>
        <v>0</v>
      </c>
      <c r="J79" s="265">
        <f>($G23*N23)*VLOOKUP(N$9,Oppslag!$AT:$AV,2,FALSE)</f>
        <v>0</v>
      </c>
      <c r="K79" s="158">
        <f>($F23*P23)*VLOOKUP(P$9,Oppslag!$AT:$AV,2,FALSE)</f>
        <v>0</v>
      </c>
      <c r="L79" s="158">
        <f>($G23*P23)*VLOOKUP(P$9,Oppslag!$AT:$AV,2,FALSE)</f>
        <v>0</v>
      </c>
      <c r="M79" s="265">
        <f>($F23*R23)*VLOOKUP(R$9,Oppslag!$AT:$AV,2,FALSE)</f>
        <v>0</v>
      </c>
      <c r="N79" s="265">
        <f>($G23*R23)*VLOOKUP(R$9,Oppslag!$AT:$AV,2,FALSE)</f>
        <v>0</v>
      </c>
      <c r="O79" s="158">
        <f>($F23*T23)*VLOOKUP(T$9,Oppslag!$AT:$AV,2,FALSE)</f>
        <v>0</v>
      </c>
      <c r="P79" s="158">
        <f>($G23*T23)*VLOOKUP(T$9,Oppslag!$AT:$AV,2,FALSE)</f>
        <v>0</v>
      </c>
      <c r="Q79" s="265">
        <f>($F23*V23)*VLOOKUP(V$9,Oppslag!$AT:$AV,2,FALSE)</f>
        <v>0</v>
      </c>
      <c r="R79" s="265">
        <f>($G23*V23)*VLOOKUP(V$9,Oppslag!$AT:$AV,2,FALSE)</f>
        <v>0</v>
      </c>
      <c r="S79" s="158">
        <f>($F23*X23)*VLOOKUP(X$9,Oppslag!$AT:$AV,2,FALSE)</f>
        <v>0</v>
      </c>
      <c r="T79" s="158">
        <f>($G23*X23)*VLOOKUP(X$9,Oppslag!$AT:$AV,2,FALSE)</f>
        <v>0</v>
      </c>
      <c r="U79" s="265">
        <f>($F23*Z23)*VLOOKUP(Z$9,Oppslag!$AT:$AV,2,FALSE)</f>
        <v>0</v>
      </c>
      <c r="V79" s="265">
        <f>($G23*Z23)*VLOOKUP(Z$9,Oppslag!$AT:$AV,2,FALSE)</f>
        <v>0</v>
      </c>
      <c r="W79" s="158">
        <f>($F23*AB23)*VLOOKUP(AB$9,Oppslag!$AT:$AV,2,FALSE)</f>
        <v>0</v>
      </c>
      <c r="X79" s="158">
        <f>($G23*AB23)*VLOOKUP(AB$9,Oppslag!$AT:$AV,2,FALSE)</f>
        <v>0</v>
      </c>
      <c r="Y79" s="265">
        <f>($F23*AD23)*VLOOKUP(AD$9,Oppslag!$AT:$AV,2,FALSE)</f>
        <v>0</v>
      </c>
      <c r="Z79" s="265">
        <f>($G23*AD23)*VLOOKUP(AD$9,Oppslag!$AT:$AV,2,FALSE)</f>
        <v>0</v>
      </c>
      <c r="AA79" s="177">
        <f t="shared" si="44"/>
        <v>0</v>
      </c>
    </row>
    <row r="80" spans="2:27" hidden="1" outlineLevel="1" x14ac:dyDescent="0.25">
      <c r="B80" s="177">
        <f t="shared" si="43"/>
        <v>0</v>
      </c>
      <c r="C80" s="159">
        <f>($F24*H24)*VLOOKUP(H$9,Oppslag!$AT:$AV,2,FALSE)</f>
        <v>0</v>
      </c>
      <c r="D80" s="158">
        <f>($G24*H24)*VLOOKUP(H$9,Oppslag!$AT:$AV,2,FALSE)</f>
        <v>0</v>
      </c>
      <c r="E80" s="265">
        <f>($F24*J24)*VLOOKUP(J$9,Oppslag!$AT:$AV,2,FALSE)</f>
        <v>0</v>
      </c>
      <c r="F80" s="265">
        <f>($G24*J24)*VLOOKUP(J$9,Oppslag!$AT:$AV,2,FALSE)</f>
        <v>0</v>
      </c>
      <c r="G80" s="158">
        <f>($F24*L24)*VLOOKUP(L$9,Oppslag!$AT:$AV,2,FALSE)</f>
        <v>0</v>
      </c>
      <c r="H80" s="158">
        <f>($G24*L24)*VLOOKUP(L$9,Oppslag!$AT:$AV,2,FALSE)</f>
        <v>0</v>
      </c>
      <c r="I80" s="265">
        <f>($F24*N24)*VLOOKUP(N$9,Oppslag!$AT:$AV,2,FALSE)</f>
        <v>0</v>
      </c>
      <c r="J80" s="265">
        <f>($G24*N24)*VLOOKUP(N$9,Oppslag!$AT:$AV,2,FALSE)</f>
        <v>0</v>
      </c>
      <c r="K80" s="158">
        <f>($F24*P24)*VLOOKUP(P$9,Oppslag!$AT:$AV,2,FALSE)</f>
        <v>0</v>
      </c>
      <c r="L80" s="158">
        <f>($G24*P24)*VLOOKUP(P$9,Oppslag!$AT:$AV,2,FALSE)</f>
        <v>0</v>
      </c>
      <c r="M80" s="265">
        <f>($F24*R24)*VLOOKUP(R$9,Oppslag!$AT:$AV,2,FALSE)</f>
        <v>0</v>
      </c>
      <c r="N80" s="265">
        <f>($G24*R24)*VLOOKUP(R$9,Oppslag!$AT:$AV,2,FALSE)</f>
        <v>0</v>
      </c>
      <c r="O80" s="158">
        <f>($F24*T24)*VLOOKUP(T$9,Oppslag!$AT:$AV,2,FALSE)</f>
        <v>0</v>
      </c>
      <c r="P80" s="158">
        <f>($G24*T24)*VLOOKUP(T$9,Oppslag!$AT:$AV,2,FALSE)</f>
        <v>0</v>
      </c>
      <c r="Q80" s="265">
        <f>($F24*V24)*VLOOKUP(V$9,Oppslag!$AT:$AV,2,FALSE)</f>
        <v>0</v>
      </c>
      <c r="R80" s="265">
        <f>($G24*V24)*VLOOKUP(V$9,Oppslag!$AT:$AV,2,FALSE)</f>
        <v>0</v>
      </c>
      <c r="S80" s="158">
        <f>($F24*X24)*VLOOKUP(X$9,Oppslag!$AT:$AV,2,FALSE)</f>
        <v>0</v>
      </c>
      <c r="T80" s="158">
        <f>($G24*X24)*VLOOKUP(X$9,Oppslag!$AT:$AV,2,FALSE)</f>
        <v>0</v>
      </c>
      <c r="U80" s="265">
        <f>($F24*Z24)*VLOOKUP(Z$9,Oppslag!$AT:$AV,2,FALSE)</f>
        <v>0</v>
      </c>
      <c r="V80" s="265">
        <f>($G24*Z24)*VLOOKUP(Z$9,Oppslag!$AT:$AV,2,FALSE)</f>
        <v>0</v>
      </c>
      <c r="W80" s="158">
        <f>($F24*AB24)*VLOOKUP(AB$9,Oppslag!$AT:$AV,2,FALSE)</f>
        <v>0</v>
      </c>
      <c r="X80" s="158">
        <f>($G24*AB24)*VLOOKUP(AB$9,Oppslag!$AT:$AV,2,FALSE)</f>
        <v>0</v>
      </c>
      <c r="Y80" s="265">
        <f>($F24*AD24)*VLOOKUP(AD$9,Oppslag!$AT:$AV,2,FALSE)</f>
        <v>0</v>
      </c>
      <c r="Z80" s="265">
        <f>($G24*AD24)*VLOOKUP(AD$9,Oppslag!$AT:$AV,2,FALSE)</f>
        <v>0</v>
      </c>
      <c r="AA80" s="177">
        <f t="shared" si="44"/>
        <v>0</v>
      </c>
    </row>
    <row r="81" spans="2:27" hidden="1" outlineLevel="1" x14ac:dyDescent="0.25">
      <c r="B81" s="177">
        <f t="shared" si="43"/>
        <v>0</v>
      </c>
      <c r="C81" s="159">
        <f>($F25*H25)*VLOOKUP(H$9,Oppslag!$AT:$AV,2,FALSE)</f>
        <v>0</v>
      </c>
      <c r="D81" s="158">
        <f>($G25*H25)*VLOOKUP(H$9,Oppslag!$AT:$AV,2,FALSE)</f>
        <v>0</v>
      </c>
      <c r="E81" s="265">
        <f>($F25*J25)*VLOOKUP(J$9,Oppslag!$AT:$AV,2,FALSE)</f>
        <v>0</v>
      </c>
      <c r="F81" s="265">
        <f>($G25*J25)*VLOOKUP(J$9,Oppslag!$AT:$AV,2,FALSE)</f>
        <v>0</v>
      </c>
      <c r="G81" s="158">
        <f>($F25*L25)*VLOOKUP(L$9,Oppslag!$AT:$AV,2,FALSE)</f>
        <v>0</v>
      </c>
      <c r="H81" s="158">
        <f>($G25*L25)*VLOOKUP(L$9,Oppslag!$AT:$AV,2,FALSE)</f>
        <v>0</v>
      </c>
      <c r="I81" s="265">
        <f>($F25*N25)*VLOOKUP(N$9,Oppslag!$AT:$AV,2,FALSE)</f>
        <v>0</v>
      </c>
      <c r="J81" s="265">
        <f>($G25*N25)*VLOOKUP(N$9,Oppslag!$AT:$AV,2,FALSE)</f>
        <v>0</v>
      </c>
      <c r="K81" s="158">
        <f>($F25*P25)*VLOOKUP(P$9,Oppslag!$AT:$AV,2,FALSE)</f>
        <v>0</v>
      </c>
      <c r="L81" s="158">
        <f>($G25*P25)*VLOOKUP(P$9,Oppslag!$AT:$AV,2,FALSE)</f>
        <v>0</v>
      </c>
      <c r="M81" s="265">
        <f>($F25*R25)*VLOOKUP(R$9,Oppslag!$AT:$AV,2,FALSE)</f>
        <v>0</v>
      </c>
      <c r="N81" s="265">
        <f>($G25*R25)*VLOOKUP(R$9,Oppslag!$AT:$AV,2,FALSE)</f>
        <v>0</v>
      </c>
      <c r="O81" s="158">
        <f>($F25*T25)*VLOOKUP(T$9,Oppslag!$AT:$AV,2,FALSE)</f>
        <v>0</v>
      </c>
      <c r="P81" s="158">
        <f>($G25*T25)*VLOOKUP(T$9,Oppslag!$AT:$AV,2,FALSE)</f>
        <v>0</v>
      </c>
      <c r="Q81" s="265">
        <f>($F25*V25)*VLOOKUP(V$9,Oppslag!$AT:$AV,2,FALSE)</f>
        <v>0</v>
      </c>
      <c r="R81" s="265">
        <f>($G25*V25)*VLOOKUP(V$9,Oppslag!$AT:$AV,2,FALSE)</f>
        <v>0</v>
      </c>
      <c r="S81" s="158">
        <f>($F25*X25)*VLOOKUP(X$9,Oppslag!$AT:$AV,2,FALSE)</f>
        <v>0</v>
      </c>
      <c r="T81" s="158">
        <f>($G25*X25)*VLOOKUP(X$9,Oppslag!$AT:$AV,2,FALSE)</f>
        <v>0</v>
      </c>
      <c r="U81" s="265">
        <f>($F25*Z25)*VLOOKUP(Z$9,Oppslag!$AT:$AV,2,FALSE)</f>
        <v>0</v>
      </c>
      <c r="V81" s="265">
        <f>($G25*Z25)*VLOOKUP(Z$9,Oppslag!$AT:$AV,2,FALSE)</f>
        <v>0</v>
      </c>
      <c r="W81" s="158">
        <f>($F25*AB25)*VLOOKUP(AB$9,Oppslag!$AT:$AV,2,FALSE)</f>
        <v>0</v>
      </c>
      <c r="X81" s="158">
        <f>($G25*AB25)*VLOOKUP(AB$9,Oppslag!$AT:$AV,2,FALSE)</f>
        <v>0</v>
      </c>
      <c r="Y81" s="265">
        <f>($F25*AD25)*VLOOKUP(AD$9,Oppslag!$AT:$AV,2,FALSE)</f>
        <v>0</v>
      </c>
      <c r="Z81" s="265">
        <f>($G25*AD25)*VLOOKUP(AD$9,Oppslag!$AT:$AV,2,FALSE)</f>
        <v>0</v>
      </c>
      <c r="AA81" s="177">
        <f t="shared" si="44"/>
        <v>0</v>
      </c>
    </row>
    <row r="82" spans="2:27" hidden="1" outlineLevel="1" x14ac:dyDescent="0.25">
      <c r="B82" s="177">
        <f t="shared" si="43"/>
        <v>0</v>
      </c>
      <c r="C82" s="159">
        <f>($F26*H26)*VLOOKUP(H$9,Oppslag!$AT:$AV,2,FALSE)</f>
        <v>0</v>
      </c>
      <c r="D82" s="158">
        <f>($G26*H26)*VLOOKUP(H$9,Oppslag!$AT:$AV,2,FALSE)</f>
        <v>0</v>
      </c>
      <c r="E82" s="265">
        <f>($F26*J26)*VLOOKUP(J$9,Oppslag!$AT:$AV,2,FALSE)</f>
        <v>0</v>
      </c>
      <c r="F82" s="265">
        <f>($G26*J26)*VLOOKUP(J$9,Oppslag!$AT:$AV,2,FALSE)</f>
        <v>0</v>
      </c>
      <c r="G82" s="158">
        <f>($F26*L26)*VLOOKUP(L$9,Oppslag!$AT:$AV,2,FALSE)</f>
        <v>0</v>
      </c>
      <c r="H82" s="158">
        <f>($G26*L26)*VLOOKUP(L$9,Oppslag!$AT:$AV,2,FALSE)</f>
        <v>0</v>
      </c>
      <c r="I82" s="265">
        <f>($F26*N26)*VLOOKUP(N$9,Oppslag!$AT:$AV,2,FALSE)</f>
        <v>0</v>
      </c>
      <c r="J82" s="265">
        <f>($G26*N26)*VLOOKUP(N$9,Oppslag!$AT:$AV,2,FALSE)</f>
        <v>0</v>
      </c>
      <c r="K82" s="158">
        <f>($F26*P26)*VLOOKUP(P$9,Oppslag!$AT:$AV,2,FALSE)</f>
        <v>0</v>
      </c>
      <c r="L82" s="158">
        <f>($G26*P26)*VLOOKUP(P$9,Oppslag!$AT:$AV,2,FALSE)</f>
        <v>0</v>
      </c>
      <c r="M82" s="265">
        <f>($F26*R26)*VLOOKUP(R$9,Oppslag!$AT:$AV,2,FALSE)</f>
        <v>0</v>
      </c>
      <c r="N82" s="265">
        <f>($G26*R26)*VLOOKUP(R$9,Oppslag!$AT:$AV,2,FALSE)</f>
        <v>0</v>
      </c>
      <c r="O82" s="158">
        <f>($F26*T26)*VLOOKUP(T$9,Oppslag!$AT:$AV,2,FALSE)</f>
        <v>0</v>
      </c>
      <c r="P82" s="158">
        <f>($G26*T26)*VLOOKUP(T$9,Oppslag!$AT:$AV,2,FALSE)</f>
        <v>0</v>
      </c>
      <c r="Q82" s="265">
        <f>($F26*V26)*VLOOKUP(V$9,Oppslag!$AT:$AV,2,FALSE)</f>
        <v>0</v>
      </c>
      <c r="R82" s="265">
        <f>($G26*V26)*VLOOKUP(V$9,Oppslag!$AT:$AV,2,FALSE)</f>
        <v>0</v>
      </c>
      <c r="S82" s="158">
        <f>($F26*X26)*VLOOKUP(X$9,Oppslag!$AT:$AV,2,FALSE)</f>
        <v>0</v>
      </c>
      <c r="T82" s="158">
        <f>($G26*X26)*VLOOKUP(X$9,Oppslag!$AT:$AV,2,FALSE)</f>
        <v>0</v>
      </c>
      <c r="U82" s="265">
        <f>($F26*Z26)*VLOOKUP(Z$9,Oppslag!$AT:$AV,2,FALSE)</f>
        <v>0</v>
      </c>
      <c r="V82" s="265">
        <f>($G26*Z26)*VLOOKUP(Z$9,Oppslag!$AT:$AV,2,FALSE)</f>
        <v>0</v>
      </c>
      <c r="W82" s="158">
        <f>($F26*AB26)*VLOOKUP(AB$9,Oppslag!$AT:$AV,2,FALSE)</f>
        <v>0</v>
      </c>
      <c r="X82" s="158">
        <f>($G26*AB26)*VLOOKUP(AB$9,Oppslag!$AT:$AV,2,FALSE)</f>
        <v>0</v>
      </c>
      <c r="Y82" s="265">
        <f>($F26*AD26)*VLOOKUP(AD$9,Oppslag!$AT:$AV,2,FALSE)</f>
        <v>0</v>
      </c>
      <c r="Z82" s="265">
        <f>($G26*AD26)*VLOOKUP(AD$9,Oppslag!$AT:$AV,2,FALSE)</f>
        <v>0</v>
      </c>
      <c r="AA82" s="177">
        <f t="shared" si="44"/>
        <v>0</v>
      </c>
    </row>
    <row r="83" spans="2:27" hidden="1" outlineLevel="1" x14ac:dyDescent="0.25">
      <c r="B83" s="177">
        <f t="shared" si="43"/>
        <v>0</v>
      </c>
      <c r="C83" s="159">
        <f>($F27*H27)*VLOOKUP(H$9,Oppslag!$AT:$AV,2,FALSE)</f>
        <v>0</v>
      </c>
      <c r="D83" s="158">
        <f>($G27*H27)*VLOOKUP(H$9,Oppslag!$AT:$AV,2,FALSE)</f>
        <v>0</v>
      </c>
      <c r="E83" s="265">
        <f>($F27*J27)*VLOOKUP(J$9,Oppslag!$AT:$AV,2,FALSE)</f>
        <v>0</v>
      </c>
      <c r="F83" s="265">
        <f>($G27*J27)*VLOOKUP(J$9,Oppslag!$AT:$AV,2,FALSE)</f>
        <v>0</v>
      </c>
      <c r="G83" s="158">
        <f>($F27*L27)*VLOOKUP(L$9,Oppslag!$AT:$AV,2,FALSE)</f>
        <v>0</v>
      </c>
      <c r="H83" s="158">
        <f>($G27*L27)*VLOOKUP(L$9,Oppslag!$AT:$AV,2,FALSE)</f>
        <v>0</v>
      </c>
      <c r="I83" s="265">
        <f>($F27*N27)*VLOOKUP(N$9,Oppslag!$AT:$AV,2,FALSE)</f>
        <v>0</v>
      </c>
      <c r="J83" s="265">
        <f>($G27*N27)*VLOOKUP(N$9,Oppslag!$AT:$AV,2,FALSE)</f>
        <v>0</v>
      </c>
      <c r="K83" s="158">
        <f>($F27*P27)*VLOOKUP(P$9,Oppslag!$AT:$AV,2,FALSE)</f>
        <v>0</v>
      </c>
      <c r="L83" s="158">
        <f>($G27*P27)*VLOOKUP(P$9,Oppslag!$AT:$AV,2,FALSE)</f>
        <v>0</v>
      </c>
      <c r="M83" s="265">
        <f>($F27*R27)*VLOOKUP(R$9,Oppslag!$AT:$AV,2,FALSE)</f>
        <v>0</v>
      </c>
      <c r="N83" s="265">
        <f>($G27*R27)*VLOOKUP(R$9,Oppslag!$AT:$AV,2,FALSE)</f>
        <v>0</v>
      </c>
      <c r="O83" s="158">
        <f>($F27*T27)*VLOOKUP(T$9,Oppslag!$AT:$AV,2,FALSE)</f>
        <v>0</v>
      </c>
      <c r="P83" s="158">
        <f>($G27*T27)*VLOOKUP(T$9,Oppslag!$AT:$AV,2,FALSE)</f>
        <v>0</v>
      </c>
      <c r="Q83" s="265">
        <f>($F27*V27)*VLOOKUP(V$9,Oppslag!$AT:$AV,2,FALSE)</f>
        <v>0</v>
      </c>
      <c r="R83" s="265">
        <f>($G27*V27)*VLOOKUP(V$9,Oppslag!$AT:$AV,2,FALSE)</f>
        <v>0</v>
      </c>
      <c r="S83" s="158">
        <f>($F27*X27)*VLOOKUP(X$9,Oppslag!$AT:$AV,2,FALSE)</f>
        <v>0</v>
      </c>
      <c r="T83" s="158">
        <f>($G27*X27)*VLOOKUP(X$9,Oppslag!$AT:$AV,2,FALSE)</f>
        <v>0</v>
      </c>
      <c r="U83" s="265">
        <f>($F27*Z27)*VLOOKUP(Z$9,Oppslag!$AT:$AV,2,FALSE)</f>
        <v>0</v>
      </c>
      <c r="V83" s="265">
        <f>($G27*Z27)*VLOOKUP(Z$9,Oppslag!$AT:$AV,2,FALSE)</f>
        <v>0</v>
      </c>
      <c r="W83" s="158">
        <f>($F27*AB27)*VLOOKUP(AB$9,Oppslag!$AT:$AV,2,FALSE)</f>
        <v>0</v>
      </c>
      <c r="X83" s="158">
        <f>($G27*AB27)*VLOOKUP(AB$9,Oppslag!$AT:$AV,2,FALSE)</f>
        <v>0</v>
      </c>
      <c r="Y83" s="265">
        <f>($F27*AD27)*VLOOKUP(AD$9,Oppslag!$AT:$AV,2,FALSE)</f>
        <v>0</v>
      </c>
      <c r="Z83" s="265">
        <f>($G27*AD27)*VLOOKUP(AD$9,Oppslag!$AT:$AV,2,FALSE)</f>
        <v>0</v>
      </c>
      <c r="AA83" s="177">
        <f t="shared" si="44"/>
        <v>0</v>
      </c>
    </row>
    <row r="84" spans="2:27" hidden="1" outlineLevel="1" x14ac:dyDescent="0.25">
      <c r="B84" s="177">
        <f t="shared" si="43"/>
        <v>0</v>
      </c>
      <c r="C84" s="159">
        <f>($F28*H28)*VLOOKUP(H$9,Oppslag!$AT:$AV,2,FALSE)</f>
        <v>0</v>
      </c>
      <c r="D84" s="158">
        <f>($G28*H28)*VLOOKUP(H$9,Oppslag!$AT:$AV,2,FALSE)</f>
        <v>0</v>
      </c>
      <c r="E84" s="265">
        <f>($F28*J28)*VLOOKUP(J$9,Oppslag!$AT:$AV,2,FALSE)</f>
        <v>0</v>
      </c>
      <c r="F84" s="265">
        <f>($G28*J28)*VLOOKUP(J$9,Oppslag!$AT:$AV,2,FALSE)</f>
        <v>0</v>
      </c>
      <c r="G84" s="158">
        <f>($F28*L28)*VLOOKUP(L$9,Oppslag!$AT:$AV,2,FALSE)</f>
        <v>0</v>
      </c>
      <c r="H84" s="158">
        <f>($G28*L28)*VLOOKUP(L$9,Oppslag!$AT:$AV,2,FALSE)</f>
        <v>0</v>
      </c>
      <c r="I84" s="265">
        <f>($F28*N28)*VLOOKUP(N$9,Oppslag!$AT:$AV,2,FALSE)</f>
        <v>0</v>
      </c>
      <c r="J84" s="265">
        <f>($G28*N28)*VLOOKUP(N$9,Oppslag!$AT:$AV,2,FALSE)</f>
        <v>0</v>
      </c>
      <c r="K84" s="158">
        <f>($F28*P28)*VLOOKUP(P$9,Oppslag!$AT:$AV,2,FALSE)</f>
        <v>0</v>
      </c>
      <c r="L84" s="158">
        <f>($G28*P28)*VLOOKUP(P$9,Oppslag!$AT:$AV,2,FALSE)</f>
        <v>0</v>
      </c>
      <c r="M84" s="265">
        <f>($F28*R28)*VLOOKUP(R$9,Oppslag!$AT:$AV,2,FALSE)</f>
        <v>0</v>
      </c>
      <c r="N84" s="265">
        <f>($G28*R28)*VLOOKUP(R$9,Oppslag!$AT:$AV,2,FALSE)</f>
        <v>0</v>
      </c>
      <c r="O84" s="158">
        <f>($F28*T28)*VLOOKUP(T$9,Oppslag!$AT:$AV,2,FALSE)</f>
        <v>0</v>
      </c>
      <c r="P84" s="158">
        <f>($G28*T28)*VLOOKUP(T$9,Oppslag!$AT:$AV,2,FALSE)</f>
        <v>0</v>
      </c>
      <c r="Q84" s="265">
        <f>($F28*V28)*VLOOKUP(V$9,Oppslag!$AT:$AV,2,FALSE)</f>
        <v>0</v>
      </c>
      <c r="R84" s="265">
        <f>($G28*V28)*VLOOKUP(V$9,Oppslag!$AT:$AV,2,FALSE)</f>
        <v>0</v>
      </c>
      <c r="S84" s="158">
        <f>($F28*X28)*VLOOKUP(X$9,Oppslag!$AT:$AV,2,FALSE)</f>
        <v>0</v>
      </c>
      <c r="T84" s="158">
        <f>($G28*X28)*VLOOKUP(X$9,Oppslag!$AT:$AV,2,FALSE)</f>
        <v>0</v>
      </c>
      <c r="U84" s="265">
        <f>($F28*Z28)*VLOOKUP(Z$9,Oppslag!$AT:$AV,2,FALSE)</f>
        <v>0</v>
      </c>
      <c r="V84" s="265">
        <f>($G28*Z28)*VLOOKUP(Z$9,Oppslag!$AT:$AV,2,FALSE)</f>
        <v>0</v>
      </c>
      <c r="W84" s="158">
        <f>($F28*AB28)*VLOOKUP(AB$9,Oppslag!$AT:$AV,2,FALSE)</f>
        <v>0</v>
      </c>
      <c r="X84" s="158">
        <f>($G28*AB28)*VLOOKUP(AB$9,Oppslag!$AT:$AV,2,FALSE)</f>
        <v>0</v>
      </c>
      <c r="Y84" s="265">
        <f>($F28*AD28)*VLOOKUP(AD$9,Oppslag!$AT:$AV,2,FALSE)</f>
        <v>0</v>
      </c>
      <c r="Z84" s="265">
        <f>($G28*AD28)*VLOOKUP(AD$9,Oppslag!$AT:$AV,2,FALSE)</f>
        <v>0</v>
      </c>
      <c r="AA84" s="177">
        <f t="shared" si="44"/>
        <v>0</v>
      </c>
    </row>
    <row r="85" spans="2:27" hidden="1" outlineLevel="1" x14ac:dyDescent="0.25">
      <c r="B85" s="177">
        <f t="shared" si="43"/>
        <v>0</v>
      </c>
      <c r="C85" s="159">
        <f>($F29*H29)*VLOOKUP(H$9,Oppslag!$AT:$AV,2,FALSE)</f>
        <v>0</v>
      </c>
      <c r="D85" s="158">
        <f>($G29*H29)*VLOOKUP(H$9,Oppslag!$AT:$AV,2,FALSE)</f>
        <v>0</v>
      </c>
      <c r="E85" s="265">
        <f>($F29*J29)*VLOOKUP(J$9,Oppslag!$AT:$AV,2,FALSE)</f>
        <v>0</v>
      </c>
      <c r="F85" s="265">
        <f>($G29*J29)*VLOOKUP(J$9,Oppslag!$AT:$AV,2,FALSE)</f>
        <v>0</v>
      </c>
      <c r="G85" s="158">
        <f>($F29*L29)*VLOOKUP(L$9,Oppslag!$AT:$AV,2,FALSE)</f>
        <v>0</v>
      </c>
      <c r="H85" s="158">
        <f>($G29*L29)*VLOOKUP(L$9,Oppslag!$AT:$AV,2,FALSE)</f>
        <v>0</v>
      </c>
      <c r="I85" s="265">
        <f>($F29*N29)*VLOOKUP(N$9,Oppslag!$AT:$AV,2,FALSE)</f>
        <v>0</v>
      </c>
      <c r="J85" s="265">
        <f>($G29*N29)*VLOOKUP(N$9,Oppslag!$AT:$AV,2,FALSE)</f>
        <v>0</v>
      </c>
      <c r="K85" s="158">
        <f>($F29*P29)*VLOOKUP(P$9,Oppslag!$AT:$AV,2,FALSE)</f>
        <v>0</v>
      </c>
      <c r="L85" s="158">
        <f>($G29*P29)*VLOOKUP(P$9,Oppslag!$AT:$AV,2,FALSE)</f>
        <v>0</v>
      </c>
      <c r="M85" s="265">
        <f>($F29*R29)*VLOOKUP(R$9,Oppslag!$AT:$AV,2,FALSE)</f>
        <v>0</v>
      </c>
      <c r="N85" s="265">
        <f>($G29*R29)*VLOOKUP(R$9,Oppslag!$AT:$AV,2,FALSE)</f>
        <v>0</v>
      </c>
      <c r="O85" s="158">
        <f>($F29*T29)*VLOOKUP(T$9,Oppslag!$AT:$AV,2,FALSE)</f>
        <v>0</v>
      </c>
      <c r="P85" s="158">
        <f>($G29*T29)*VLOOKUP(T$9,Oppslag!$AT:$AV,2,FALSE)</f>
        <v>0</v>
      </c>
      <c r="Q85" s="265">
        <f>($F29*V29)*VLOOKUP(V$9,Oppslag!$AT:$AV,2,FALSE)</f>
        <v>0</v>
      </c>
      <c r="R85" s="265">
        <f>($G29*V29)*VLOOKUP(V$9,Oppslag!$AT:$AV,2,FALSE)</f>
        <v>0</v>
      </c>
      <c r="S85" s="158">
        <f>($F29*X29)*VLOOKUP(X$9,Oppslag!$AT:$AV,2,FALSE)</f>
        <v>0</v>
      </c>
      <c r="T85" s="158">
        <f>($G29*X29)*VLOOKUP(X$9,Oppslag!$AT:$AV,2,FALSE)</f>
        <v>0</v>
      </c>
      <c r="U85" s="265">
        <f>($F29*Z29)*VLOOKUP(Z$9,Oppslag!$AT:$AV,2,FALSE)</f>
        <v>0</v>
      </c>
      <c r="V85" s="265">
        <f>($G29*Z29)*VLOOKUP(Z$9,Oppslag!$AT:$AV,2,FALSE)</f>
        <v>0</v>
      </c>
      <c r="W85" s="158">
        <f>($F29*AB29)*VLOOKUP(AB$9,Oppslag!$AT:$AV,2,FALSE)</f>
        <v>0</v>
      </c>
      <c r="X85" s="158">
        <f>($G29*AB29)*VLOOKUP(AB$9,Oppslag!$AT:$AV,2,FALSE)</f>
        <v>0</v>
      </c>
      <c r="Y85" s="265">
        <f>($F29*AD29)*VLOOKUP(AD$9,Oppslag!$AT:$AV,2,FALSE)</f>
        <v>0</v>
      </c>
      <c r="Z85" s="265">
        <f>($G29*AD29)*VLOOKUP(AD$9,Oppslag!$AT:$AV,2,FALSE)</f>
        <v>0</v>
      </c>
      <c r="AA85" s="177">
        <f t="shared" si="44"/>
        <v>0</v>
      </c>
    </row>
    <row r="86" spans="2:27" hidden="1" outlineLevel="1" x14ac:dyDescent="0.25">
      <c r="B86" s="177">
        <f t="shared" si="43"/>
        <v>0</v>
      </c>
      <c r="C86" s="159">
        <f>($F30*H30)*VLOOKUP(H$9,Oppslag!$AT:$AV,2,FALSE)</f>
        <v>0</v>
      </c>
      <c r="D86" s="158">
        <f>($G30*H30)*VLOOKUP(H$9,Oppslag!$AT:$AV,2,FALSE)</f>
        <v>0</v>
      </c>
      <c r="E86" s="265">
        <f>($F30*J30)*VLOOKUP(J$9,Oppslag!$AT:$AV,2,FALSE)</f>
        <v>0</v>
      </c>
      <c r="F86" s="265">
        <f>($G30*J30)*VLOOKUP(J$9,Oppslag!$AT:$AV,2,FALSE)</f>
        <v>0</v>
      </c>
      <c r="G86" s="158">
        <f>($F30*L30)*VLOOKUP(L$9,Oppslag!$AT:$AV,2,FALSE)</f>
        <v>0</v>
      </c>
      <c r="H86" s="158">
        <f>($G30*L30)*VLOOKUP(L$9,Oppslag!$AT:$AV,2,FALSE)</f>
        <v>0</v>
      </c>
      <c r="I86" s="265">
        <f>($F30*N30)*VLOOKUP(N$9,Oppslag!$AT:$AV,2,FALSE)</f>
        <v>0</v>
      </c>
      <c r="J86" s="265">
        <f>($G30*N30)*VLOOKUP(N$9,Oppslag!$AT:$AV,2,FALSE)</f>
        <v>0</v>
      </c>
      <c r="K86" s="158">
        <f>($F30*P30)*VLOOKUP(P$9,Oppslag!$AT:$AV,2,FALSE)</f>
        <v>0</v>
      </c>
      <c r="L86" s="158">
        <f>($G30*P30)*VLOOKUP(P$9,Oppslag!$AT:$AV,2,FALSE)</f>
        <v>0</v>
      </c>
      <c r="M86" s="265">
        <f>($F30*R30)*VLOOKUP(R$9,Oppslag!$AT:$AV,2,FALSE)</f>
        <v>0</v>
      </c>
      <c r="N86" s="265">
        <f>($G30*R30)*VLOOKUP(R$9,Oppslag!$AT:$AV,2,FALSE)</f>
        <v>0</v>
      </c>
      <c r="O86" s="158">
        <f>($F30*T30)*VLOOKUP(T$9,Oppslag!$AT:$AV,2,FALSE)</f>
        <v>0</v>
      </c>
      <c r="P86" s="158">
        <f>($G30*T30)*VLOOKUP(T$9,Oppslag!$AT:$AV,2,FALSE)</f>
        <v>0</v>
      </c>
      <c r="Q86" s="265">
        <f>($F30*V30)*VLOOKUP(V$9,Oppslag!$AT:$AV,2,FALSE)</f>
        <v>0</v>
      </c>
      <c r="R86" s="265">
        <f>($G30*V30)*VLOOKUP(V$9,Oppslag!$AT:$AV,2,FALSE)</f>
        <v>0</v>
      </c>
      <c r="S86" s="158">
        <f>($F30*X30)*VLOOKUP(X$9,Oppslag!$AT:$AV,2,FALSE)</f>
        <v>0</v>
      </c>
      <c r="T86" s="158">
        <f>($G30*X30)*VLOOKUP(X$9,Oppslag!$AT:$AV,2,FALSE)</f>
        <v>0</v>
      </c>
      <c r="U86" s="265">
        <f>($F30*Z30)*VLOOKUP(Z$9,Oppslag!$AT:$AV,2,FALSE)</f>
        <v>0</v>
      </c>
      <c r="V86" s="265">
        <f>($G30*Z30)*VLOOKUP(Z$9,Oppslag!$AT:$AV,2,FALSE)</f>
        <v>0</v>
      </c>
      <c r="W86" s="158">
        <f>($F30*AB30)*VLOOKUP(AB$9,Oppslag!$AT:$AV,2,FALSE)</f>
        <v>0</v>
      </c>
      <c r="X86" s="158">
        <f>($G30*AB30)*VLOOKUP(AB$9,Oppslag!$AT:$AV,2,FALSE)</f>
        <v>0</v>
      </c>
      <c r="Y86" s="265">
        <f>($F30*AD30)*VLOOKUP(AD$9,Oppslag!$AT:$AV,2,FALSE)</f>
        <v>0</v>
      </c>
      <c r="Z86" s="265">
        <f>($G30*AD30)*VLOOKUP(AD$9,Oppslag!$AT:$AV,2,FALSE)</f>
        <v>0</v>
      </c>
      <c r="AA86" s="177">
        <f t="shared" si="44"/>
        <v>0</v>
      </c>
    </row>
    <row r="87" spans="2:27" hidden="1" outlineLevel="1" x14ac:dyDescent="0.25">
      <c r="B87" s="177">
        <f t="shared" si="43"/>
        <v>0</v>
      </c>
      <c r="C87" s="159">
        <f>($F31*H31)*VLOOKUP(H$9,Oppslag!$AT:$AV,2,FALSE)</f>
        <v>0</v>
      </c>
      <c r="D87" s="158">
        <f>($G31*H31)*VLOOKUP(H$9,Oppslag!$AT:$AV,2,FALSE)</f>
        <v>0</v>
      </c>
      <c r="E87" s="265">
        <f>($F31*J31)*VLOOKUP(J$9,Oppslag!$AT:$AV,2,FALSE)</f>
        <v>0</v>
      </c>
      <c r="F87" s="265">
        <f>($G31*J31)*VLOOKUP(J$9,Oppslag!$AT:$AV,2,FALSE)</f>
        <v>0</v>
      </c>
      <c r="G87" s="158">
        <f>($F31*L31)*VLOOKUP(L$9,Oppslag!$AT:$AV,2,FALSE)</f>
        <v>0</v>
      </c>
      <c r="H87" s="158">
        <f>($G31*L31)*VLOOKUP(L$9,Oppslag!$AT:$AV,2,FALSE)</f>
        <v>0</v>
      </c>
      <c r="I87" s="265">
        <f>($F31*N31)*VLOOKUP(N$9,Oppslag!$AT:$AV,2,FALSE)</f>
        <v>0</v>
      </c>
      <c r="J87" s="265">
        <f>($G31*N31)*VLOOKUP(N$9,Oppslag!$AT:$AV,2,FALSE)</f>
        <v>0</v>
      </c>
      <c r="K87" s="158">
        <f>($F31*P31)*VLOOKUP(P$9,Oppslag!$AT:$AV,2,FALSE)</f>
        <v>0</v>
      </c>
      <c r="L87" s="158">
        <f>($G31*P31)*VLOOKUP(P$9,Oppslag!$AT:$AV,2,FALSE)</f>
        <v>0</v>
      </c>
      <c r="M87" s="265">
        <f>($F31*R31)*VLOOKUP(R$9,Oppslag!$AT:$AV,2,FALSE)</f>
        <v>0</v>
      </c>
      <c r="N87" s="265">
        <f>($G31*R31)*VLOOKUP(R$9,Oppslag!$AT:$AV,2,FALSE)</f>
        <v>0</v>
      </c>
      <c r="O87" s="158">
        <f>($F31*T31)*VLOOKUP(T$9,Oppslag!$AT:$AV,2,FALSE)</f>
        <v>0</v>
      </c>
      <c r="P87" s="158">
        <f>($G31*T31)*VLOOKUP(T$9,Oppslag!$AT:$AV,2,FALSE)</f>
        <v>0</v>
      </c>
      <c r="Q87" s="265">
        <f>($F31*V31)*VLOOKUP(V$9,Oppslag!$AT:$AV,2,FALSE)</f>
        <v>0</v>
      </c>
      <c r="R87" s="265">
        <f>($G31*V31)*VLOOKUP(V$9,Oppslag!$AT:$AV,2,FALSE)</f>
        <v>0</v>
      </c>
      <c r="S87" s="158">
        <f>($F31*X31)*VLOOKUP(X$9,Oppslag!$AT:$AV,2,FALSE)</f>
        <v>0</v>
      </c>
      <c r="T87" s="158">
        <f>($G31*X31)*VLOOKUP(X$9,Oppslag!$AT:$AV,2,FALSE)</f>
        <v>0</v>
      </c>
      <c r="U87" s="265">
        <f>($F31*Z31)*VLOOKUP(Z$9,Oppslag!$AT:$AV,2,FALSE)</f>
        <v>0</v>
      </c>
      <c r="V87" s="265">
        <f>($G31*Z31)*VLOOKUP(Z$9,Oppslag!$AT:$AV,2,FALSE)</f>
        <v>0</v>
      </c>
      <c r="W87" s="158">
        <f>($F31*AB31)*VLOOKUP(AB$9,Oppslag!$AT:$AV,2,FALSE)</f>
        <v>0</v>
      </c>
      <c r="X87" s="158">
        <f>($G31*AB31)*VLOOKUP(AB$9,Oppslag!$AT:$AV,2,FALSE)</f>
        <v>0</v>
      </c>
      <c r="Y87" s="265">
        <f>($F31*AD31)*VLOOKUP(AD$9,Oppslag!$AT:$AV,2,FALSE)</f>
        <v>0</v>
      </c>
      <c r="Z87" s="265">
        <f>($G31*AD31)*VLOOKUP(AD$9,Oppslag!$AT:$AV,2,FALSE)</f>
        <v>0</v>
      </c>
      <c r="AA87" s="177">
        <f t="shared" si="44"/>
        <v>0</v>
      </c>
    </row>
    <row r="88" spans="2:27" hidden="1" outlineLevel="1" x14ac:dyDescent="0.25">
      <c r="B88" s="177">
        <f t="shared" si="43"/>
        <v>0</v>
      </c>
      <c r="C88" s="159">
        <f>($F32*H32)*VLOOKUP(H$9,Oppslag!$AT:$AV,2,FALSE)</f>
        <v>0</v>
      </c>
      <c r="D88" s="158">
        <f>($G32*H32)*VLOOKUP(H$9,Oppslag!$AT:$AV,2,FALSE)</f>
        <v>0</v>
      </c>
      <c r="E88" s="265">
        <f>($F32*J32)*VLOOKUP(J$9,Oppslag!$AT:$AV,2,FALSE)</f>
        <v>0</v>
      </c>
      <c r="F88" s="265">
        <f>($G32*J32)*VLOOKUP(J$9,Oppslag!$AT:$AV,2,FALSE)</f>
        <v>0</v>
      </c>
      <c r="G88" s="158">
        <f>($F32*L32)*VLOOKUP(L$9,Oppslag!$AT:$AV,2,FALSE)</f>
        <v>0</v>
      </c>
      <c r="H88" s="158">
        <f>($G32*L32)*VLOOKUP(L$9,Oppslag!$AT:$AV,2,FALSE)</f>
        <v>0</v>
      </c>
      <c r="I88" s="265">
        <f>($F32*N32)*VLOOKUP(N$9,Oppslag!$AT:$AV,2,FALSE)</f>
        <v>0</v>
      </c>
      <c r="J88" s="265">
        <f>($G32*N32)*VLOOKUP(N$9,Oppslag!$AT:$AV,2,FALSE)</f>
        <v>0</v>
      </c>
      <c r="K88" s="158">
        <f>($F32*P32)*VLOOKUP(P$9,Oppslag!$AT:$AV,2,FALSE)</f>
        <v>0</v>
      </c>
      <c r="L88" s="158">
        <f>($G32*P32)*VLOOKUP(P$9,Oppslag!$AT:$AV,2,FALSE)</f>
        <v>0</v>
      </c>
      <c r="M88" s="265">
        <f>($F32*R32)*VLOOKUP(R$9,Oppslag!$AT:$AV,2,FALSE)</f>
        <v>0</v>
      </c>
      <c r="N88" s="265">
        <f>($G32*R32)*VLOOKUP(R$9,Oppslag!$AT:$AV,2,FALSE)</f>
        <v>0</v>
      </c>
      <c r="O88" s="158">
        <f>($F32*T32)*VLOOKUP(T$9,Oppslag!$AT:$AV,2,FALSE)</f>
        <v>0</v>
      </c>
      <c r="P88" s="158">
        <f>($G32*T32)*VLOOKUP(T$9,Oppslag!$AT:$AV,2,FALSE)</f>
        <v>0</v>
      </c>
      <c r="Q88" s="265">
        <f>($F32*V32)*VLOOKUP(V$9,Oppslag!$AT:$AV,2,FALSE)</f>
        <v>0</v>
      </c>
      <c r="R88" s="265">
        <f>($G32*V32)*VLOOKUP(V$9,Oppslag!$AT:$AV,2,FALSE)</f>
        <v>0</v>
      </c>
      <c r="S88" s="158">
        <f>($F32*X32)*VLOOKUP(X$9,Oppslag!$AT:$AV,2,FALSE)</f>
        <v>0</v>
      </c>
      <c r="T88" s="158">
        <f>($G32*X32)*VLOOKUP(X$9,Oppslag!$AT:$AV,2,FALSE)</f>
        <v>0</v>
      </c>
      <c r="U88" s="265">
        <f>($F32*Z32)*VLOOKUP(Z$9,Oppslag!$AT:$AV,2,FALSE)</f>
        <v>0</v>
      </c>
      <c r="V88" s="265">
        <f>($G32*Z32)*VLOOKUP(Z$9,Oppslag!$AT:$AV,2,FALSE)</f>
        <v>0</v>
      </c>
      <c r="W88" s="158">
        <f>($F32*AB32)*VLOOKUP(AB$9,Oppslag!$AT:$AV,2,FALSE)</f>
        <v>0</v>
      </c>
      <c r="X88" s="158">
        <f>($G32*AB32)*VLOOKUP(AB$9,Oppslag!$AT:$AV,2,FALSE)</f>
        <v>0</v>
      </c>
      <c r="Y88" s="265">
        <f>($F32*AD32)*VLOOKUP(AD$9,Oppslag!$AT:$AV,2,FALSE)</f>
        <v>0</v>
      </c>
      <c r="Z88" s="265">
        <f>($G32*AD32)*VLOOKUP(AD$9,Oppslag!$AT:$AV,2,FALSE)</f>
        <v>0</v>
      </c>
      <c r="AA88" s="177">
        <f t="shared" si="44"/>
        <v>0</v>
      </c>
    </row>
    <row r="89" spans="2:27" hidden="1" outlineLevel="1" x14ac:dyDescent="0.25">
      <c r="B89" s="177">
        <f t="shared" si="43"/>
        <v>0</v>
      </c>
      <c r="C89" s="159">
        <f>($F33*H33)*VLOOKUP(H$9,Oppslag!$AT:$AV,2,FALSE)</f>
        <v>0</v>
      </c>
      <c r="D89" s="158">
        <f>($G33*H33)*VLOOKUP(H$9,Oppslag!$AT:$AV,2,FALSE)</f>
        <v>0</v>
      </c>
      <c r="E89" s="265">
        <f>($F33*J33)*VLOOKUP(J$9,Oppslag!$AT:$AV,2,FALSE)</f>
        <v>0</v>
      </c>
      <c r="F89" s="265">
        <f>($G33*J33)*VLOOKUP(J$9,Oppslag!$AT:$AV,2,FALSE)</f>
        <v>0</v>
      </c>
      <c r="G89" s="158">
        <f>($F33*L33)*VLOOKUP(L$9,Oppslag!$AT:$AV,2,FALSE)</f>
        <v>0</v>
      </c>
      <c r="H89" s="158">
        <f>($G33*L33)*VLOOKUP(L$9,Oppslag!$AT:$AV,2,FALSE)</f>
        <v>0</v>
      </c>
      <c r="I89" s="265">
        <f>($F33*N33)*VLOOKUP(N$9,Oppslag!$AT:$AV,2,FALSE)</f>
        <v>0</v>
      </c>
      <c r="J89" s="265">
        <f>($G33*N33)*VLOOKUP(N$9,Oppslag!$AT:$AV,2,FALSE)</f>
        <v>0</v>
      </c>
      <c r="K89" s="158">
        <f>($F33*P33)*VLOOKUP(P$9,Oppslag!$AT:$AV,2,FALSE)</f>
        <v>0</v>
      </c>
      <c r="L89" s="158">
        <f>($G33*P33)*VLOOKUP(P$9,Oppslag!$AT:$AV,2,FALSE)</f>
        <v>0</v>
      </c>
      <c r="M89" s="265">
        <f>($F33*R33)*VLOOKUP(R$9,Oppslag!$AT:$AV,2,FALSE)</f>
        <v>0</v>
      </c>
      <c r="N89" s="265">
        <f>($G33*R33)*VLOOKUP(R$9,Oppslag!$AT:$AV,2,FALSE)</f>
        <v>0</v>
      </c>
      <c r="O89" s="158">
        <f>($F33*T33)*VLOOKUP(T$9,Oppslag!$AT:$AV,2,FALSE)</f>
        <v>0</v>
      </c>
      <c r="P89" s="158">
        <f>($G33*T33)*VLOOKUP(T$9,Oppslag!$AT:$AV,2,FALSE)</f>
        <v>0</v>
      </c>
      <c r="Q89" s="265">
        <f>($F33*V33)*VLOOKUP(V$9,Oppslag!$AT:$AV,2,FALSE)</f>
        <v>0</v>
      </c>
      <c r="R89" s="265">
        <f>($G33*V33)*VLOOKUP(V$9,Oppslag!$AT:$AV,2,FALSE)</f>
        <v>0</v>
      </c>
      <c r="S89" s="158">
        <f>($F33*X33)*VLOOKUP(X$9,Oppslag!$AT:$AV,2,FALSE)</f>
        <v>0</v>
      </c>
      <c r="T89" s="158">
        <f>($G33*X33)*VLOOKUP(X$9,Oppslag!$AT:$AV,2,FALSE)</f>
        <v>0</v>
      </c>
      <c r="U89" s="265">
        <f>($F33*Z33)*VLOOKUP(Z$9,Oppslag!$AT:$AV,2,FALSE)</f>
        <v>0</v>
      </c>
      <c r="V89" s="265">
        <f>($G33*Z33)*VLOOKUP(Z$9,Oppslag!$AT:$AV,2,FALSE)</f>
        <v>0</v>
      </c>
      <c r="W89" s="158">
        <f>($F33*AB33)*VLOOKUP(AB$9,Oppslag!$AT:$AV,2,FALSE)</f>
        <v>0</v>
      </c>
      <c r="X89" s="158">
        <f>($G33*AB33)*VLOOKUP(AB$9,Oppslag!$AT:$AV,2,FALSE)</f>
        <v>0</v>
      </c>
      <c r="Y89" s="265">
        <f>($F33*AD33)*VLOOKUP(AD$9,Oppslag!$AT:$AV,2,FALSE)</f>
        <v>0</v>
      </c>
      <c r="Z89" s="265">
        <f>($G33*AD33)*VLOOKUP(AD$9,Oppslag!$AT:$AV,2,FALSE)</f>
        <v>0</v>
      </c>
      <c r="AA89" s="177">
        <f t="shared" si="44"/>
        <v>0</v>
      </c>
    </row>
    <row r="90" spans="2:27" hidden="1" outlineLevel="1" x14ac:dyDescent="0.25">
      <c r="B90" s="177">
        <f t="shared" si="43"/>
        <v>0</v>
      </c>
      <c r="C90" s="159">
        <f>($F34*H34)*VLOOKUP(H$9,Oppslag!$AT:$AV,2,FALSE)</f>
        <v>0</v>
      </c>
      <c r="D90" s="158">
        <f>($G34*H34)*VLOOKUP(H$9,Oppslag!$AT:$AV,2,FALSE)</f>
        <v>0</v>
      </c>
      <c r="E90" s="265">
        <f>($F34*J34)*VLOOKUP(J$9,Oppslag!$AT:$AV,2,FALSE)</f>
        <v>0</v>
      </c>
      <c r="F90" s="265">
        <f>($G34*J34)*VLOOKUP(J$9,Oppslag!$AT:$AV,2,FALSE)</f>
        <v>0</v>
      </c>
      <c r="G90" s="158">
        <f>($F34*L34)*VLOOKUP(L$9,Oppslag!$AT:$AV,2,FALSE)</f>
        <v>0</v>
      </c>
      <c r="H90" s="158">
        <f>($G34*L34)*VLOOKUP(L$9,Oppslag!$AT:$AV,2,FALSE)</f>
        <v>0</v>
      </c>
      <c r="I90" s="265">
        <f>($F34*N34)*VLOOKUP(N$9,Oppslag!$AT:$AV,2,FALSE)</f>
        <v>0</v>
      </c>
      <c r="J90" s="265">
        <f>($G34*N34)*VLOOKUP(N$9,Oppslag!$AT:$AV,2,FALSE)</f>
        <v>0</v>
      </c>
      <c r="K90" s="158">
        <f>($F34*P34)*VLOOKUP(P$9,Oppslag!$AT:$AV,2,FALSE)</f>
        <v>0</v>
      </c>
      <c r="L90" s="158">
        <f>($G34*P34)*VLOOKUP(P$9,Oppslag!$AT:$AV,2,FALSE)</f>
        <v>0</v>
      </c>
      <c r="M90" s="265">
        <f>($F34*R34)*VLOOKUP(R$9,Oppslag!$AT:$AV,2,FALSE)</f>
        <v>0</v>
      </c>
      <c r="N90" s="265">
        <f>($G34*R34)*VLOOKUP(R$9,Oppslag!$AT:$AV,2,FALSE)</f>
        <v>0</v>
      </c>
      <c r="O90" s="158">
        <f>($F34*T34)*VLOOKUP(T$9,Oppslag!$AT:$AV,2,FALSE)</f>
        <v>0</v>
      </c>
      <c r="P90" s="158">
        <f>($G34*T34)*VLOOKUP(T$9,Oppslag!$AT:$AV,2,FALSE)</f>
        <v>0</v>
      </c>
      <c r="Q90" s="265">
        <f>($F34*V34)*VLOOKUP(V$9,Oppslag!$AT:$AV,2,FALSE)</f>
        <v>0</v>
      </c>
      <c r="R90" s="265">
        <f>($G34*V34)*VLOOKUP(V$9,Oppslag!$AT:$AV,2,FALSE)</f>
        <v>0</v>
      </c>
      <c r="S90" s="158">
        <f>($F34*X34)*VLOOKUP(X$9,Oppslag!$AT:$AV,2,FALSE)</f>
        <v>0</v>
      </c>
      <c r="T90" s="158">
        <f>($G34*X34)*VLOOKUP(X$9,Oppslag!$AT:$AV,2,FALSE)</f>
        <v>0</v>
      </c>
      <c r="U90" s="265">
        <f>($F34*Z34)*VLOOKUP(Z$9,Oppslag!$AT:$AV,2,FALSE)</f>
        <v>0</v>
      </c>
      <c r="V90" s="265">
        <f>($G34*Z34)*VLOOKUP(Z$9,Oppslag!$AT:$AV,2,FALSE)</f>
        <v>0</v>
      </c>
      <c r="W90" s="158">
        <f>($F34*AB34)*VLOOKUP(AB$9,Oppslag!$AT:$AV,2,FALSE)</f>
        <v>0</v>
      </c>
      <c r="X90" s="158">
        <f>($G34*AB34)*VLOOKUP(AB$9,Oppslag!$AT:$AV,2,FALSE)</f>
        <v>0</v>
      </c>
      <c r="Y90" s="265">
        <f>($F34*AD34)*VLOOKUP(AD$9,Oppslag!$AT:$AV,2,FALSE)</f>
        <v>0</v>
      </c>
      <c r="Z90" s="265">
        <f>($G34*AD34)*VLOOKUP(AD$9,Oppslag!$AT:$AV,2,FALSE)</f>
        <v>0</v>
      </c>
      <c r="AA90" s="177">
        <f t="shared" si="44"/>
        <v>0</v>
      </c>
    </row>
    <row r="91" spans="2:27" hidden="1" outlineLevel="1" x14ac:dyDescent="0.25">
      <c r="B91" s="177">
        <f t="shared" si="43"/>
        <v>0</v>
      </c>
      <c r="C91" s="159">
        <f>($F35*H35)*VLOOKUP(H$9,Oppslag!$AT:$AV,2,FALSE)</f>
        <v>0</v>
      </c>
      <c r="D91" s="158">
        <f>($G35*H35)*VLOOKUP(H$9,Oppslag!$AT:$AV,2,FALSE)</f>
        <v>0</v>
      </c>
      <c r="E91" s="265">
        <f>($F35*J35)*VLOOKUP(J$9,Oppslag!$AT:$AV,2,FALSE)</f>
        <v>0</v>
      </c>
      <c r="F91" s="265">
        <f>($G35*J35)*VLOOKUP(J$9,Oppslag!$AT:$AV,2,FALSE)</f>
        <v>0</v>
      </c>
      <c r="G91" s="158">
        <f>($F35*L35)*VLOOKUP(L$9,Oppslag!$AT:$AV,2,FALSE)</f>
        <v>0</v>
      </c>
      <c r="H91" s="158">
        <f>($G35*L35)*VLOOKUP(L$9,Oppslag!$AT:$AV,2,FALSE)</f>
        <v>0</v>
      </c>
      <c r="I91" s="265">
        <f>($F35*N35)*VLOOKUP(N$9,Oppslag!$AT:$AV,2,FALSE)</f>
        <v>0</v>
      </c>
      <c r="J91" s="265">
        <f>($G35*N35)*VLOOKUP(N$9,Oppslag!$AT:$AV,2,FALSE)</f>
        <v>0</v>
      </c>
      <c r="K91" s="158">
        <f>($F35*P35)*VLOOKUP(P$9,Oppslag!$AT:$AV,2,FALSE)</f>
        <v>0</v>
      </c>
      <c r="L91" s="158">
        <f>($G35*P35)*VLOOKUP(P$9,Oppslag!$AT:$AV,2,FALSE)</f>
        <v>0</v>
      </c>
      <c r="M91" s="265">
        <f>($F35*R35)*VLOOKUP(R$9,Oppslag!$AT:$AV,2,FALSE)</f>
        <v>0</v>
      </c>
      <c r="N91" s="265">
        <f>($G35*R35)*VLOOKUP(R$9,Oppslag!$AT:$AV,2,FALSE)</f>
        <v>0</v>
      </c>
      <c r="O91" s="158">
        <f>($F35*T35)*VLOOKUP(T$9,Oppslag!$AT:$AV,2,FALSE)</f>
        <v>0</v>
      </c>
      <c r="P91" s="158">
        <f>($G35*T35)*VLOOKUP(T$9,Oppslag!$AT:$AV,2,FALSE)</f>
        <v>0</v>
      </c>
      <c r="Q91" s="265">
        <f>($F35*V35)*VLOOKUP(V$9,Oppslag!$AT:$AV,2,FALSE)</f>
        <v>0</v>
      </c>
      <c r="R91" s="265">
        <f>($G35*V35)*VLOOKUP(V$9,Oppslag!$AT:$AV,2,FALSE)</f>
        <v>0</v>
      </c>
      <c r="S91" s="158">
        <f>($F35*X35)*VLOOKUP(X$9,Oppslag!$AT:$AV,2,FALSE)</f>
        <v>0</v>
      </c>
      <c r="T91" s="158">
        <f>($G35*X35)*VLOOKUP(X$9,Oppslag!$AT:$AV,2,FALSE)</f>
        <v>0</v>
      </c>
      <c r="U91" s="265">
        <f>($F35*Z35)*VLOOKUP(Z$9,Oppslag!$AT:$AV,2,FALSE)</f>
        <v>0</v>
      </c>
      <c r="V91" s="265">
        <f>($G35*Z35)*VLOOKUP(Z$9,Oppslag!$AT:$AV,2,FALSE)</f>
        <v>0</v>
      </c>
      <c r="W91" s="158">
        <f>($F35*AB35)*VLOOKUP(AB$9,Oppslag!$AT:$AV,2,FALSE)</f>
        <v>0</v>
      </c>
      <c r="X91" s="158">
        <f>($G35*AB35)*VLOOKUP(AB$9,Oppslag!$AT:$AV,2,FALSE)</f>
        <v>0</v>
      </c>
      <c r="Y91" s="265">
        <f>($F35*AD35)*VLOOKUP(AD$9,Oppslag!$AT:$AV,2,FALSE)</f>
        <v>0</v>
      </c>
      <c r="Z91" s="265">
        <f>($G35*AD35)*VLOOKUP(AD$9,Oppslag!$AT:$AV,2,FALSE)</f>
        <v>0</v>
      </c>
      <c r="AA91" s="177">
        <f t="shared" si="44"/>
        <v>0</v>
      </c>
    </row>
    <row r="92" spans="2:27" hidden="1" outlineLevel="1" x14ac:dyDescent="0.25">
      <c r="B92" s="177">
        <f t="shared" si="43"/>
        <v>0</v>
      </c>
      <c r="C92" s="159">
        <f>($F36*H36)*VLOOKUP(H$9,Oppslag!$AT:$AV,2,FALSE)</f>
        <v>0</v>
      </c>
      <c r="D92" s="158">
        <f>($G36*H36)*VLOOKUP(H$9,Oppslag!$AT:$AV,2,FALSE)</f>
        <v>0</v>
      </c>
      <c r="E92" s="265">
        <f>($F36*J36)*VLOOKUP(J$9,Oppslag!$AT:$AV,2,FALSE)</f>
        <v>0</v>
      </c>
      <c r="F92" s="265">
        <f>($G36*J36)*VLOOKUP(J$9,Oppslag!$AT:$AV,2,FALSE)</f>
        <v>0</v>
      </c>
      <c r="G92" s="158">
        <f>($F36*L36)*VLOOKUP(L$9,Oppslag!$AT:$AV,2,FALSE)</f>
        <v>0</v>
      </c>
      <c r="H92" s="158">
        <f>($G36*L36)*VLOOKUP(L$9,Oppslag!$AT:$AV,2,FALSE)</f>
        <v>0</v>
      </c>
      <c r="I92" s="265">
        <f>($F36*N36)*VLOOKUP(N$9,Oppslag!$AT:$AV,2,FALSE)</f>
        <v>0</v>
      </c>
      <c r="J92" s="265">
        <f>($G36*N36)*VLOOKUP(N$9,Oppslag!$AT:$AV,2,FALSE)</f>
        <v>0</v>
      </c>
      <c r="K92" s="158">
        <f>($F36*P36)*VLOOKUP(P$9,Oppslag!$AT:$AV,2,FALSE)</f>
        <v>0</v>
      </c>
      <c r="L92" s="158">
        <f>($G36*P36)*VLOOKUP(P$9,Oppslag!$AT:$AV,2,FALSE)</f>
        <v>0</v>
      </c>
      <c r="M92" s="265">
        <f>($F36*R36)*VLOOKUP(R$9,Oppslag!$AT:$AV,2,FALSE)</f>
        <v>0</v>
      </c>
      <c r="N92" s="265">
        <f>($G36*R36)*VLOOKUP(R$9,Oppslag!$AT:$AV,2,FALSE)</f>
        <v>0</v>
      </c>
      <c r="O92" s="158">
        <f>($F36*T36)*VLOOKUP(T$9,Oppslag!$AT:$AV,2,FALSE)</f>
        <v>0</v>
      </c>
      <c r="P92" s="158">
        <f>($G36*T36)*VLOOKUP(T$9,Oppslag!$AT:$AV,2,FALSE)</f>
        <v>0</v>
      </c>
      <c r="Q92" s="265">
        <f>($F36*V36)*VLOOKUP(V$9,Oppslag!$AT:$AV,2,FALSE)</f>
        <v>0</v>
      </c>
      <c r="R92" s="265">
        <f>($G36*V36)*VLOOKUP(V$9,Oppslag!$AT:$AV,2,FALSE)</f>
        <v>0</v>
      </c>
      <c r="S92" s="158">
        <f>($F36*X36)*VLOOKUP(X$9,Oppslag!$AT:$AV,2,FALSE)</f>
        <v>0</v>
      </c>
      <c r="T92" s="158">
        <f>($G36*X36)*VLOOKUP(X$9,Oppslag!$AT:$AV,2,FALSE)</f>
        <v>0</v>
      </c>
      <c r="U92" s="265">
        <f>($F36*Z36)*VLOOKUP(Z$9,Oppslag!$AT:$AV,2,FALSE)</f>
        <v>0</v>
      </c>
      <c r="V92" s="265">
        <f>($G36*Z36)*VLOOKUP(Z$9,Oppslag!$AT:$AV,2,FALSE)</f>
        <v>0</v>
      </c>
      <c r="W92" s="158">
        <f>($F36*AB36)*VLOOKUP(AB$9,Oppslag!$AT:$AV,2,FALSE)</f>
        <v>0</v>
      </c>
      <c r="X92" s="158">
        <f>($G36*AB36)*VLOOKUP(AB$9,Oppslag!$AT:$AV,2,FALSE)</f>
        <v>0</v>
      </c>
      <c r="Y92" s="265">
        <f>($F36*AD36)*VLOOKUP(AD$9,Oppslag!$AT:$AV,2,FALSE)</f>
        <v>0</v>
      </c>
      <c r="Z92" s="265">
        <f>($G36*AD36)*VLOOKUP(AD$9,Oppslag!$AT:$AV,2,FALSE)</f>
        <v>0</v>
      </c>
      <c r="AA92" s="177">
        <f t="shared" si="44"/>
        <v>0</v>
      </c>
    </row>
    <row r="93" spans="2:27" hidden="1" outlineLevel="1" x14ac:dyDescent="0.25">
      <c r="B93" s="177">
        <f t="shared" si="43"/>
        <v>0</v>
      </c>
      <c r="C93" s="159">
        <f>($F37*H37)*VLOOKUP(H$9,Oppslag!$AT:$AV,2,FALSE)</f>
        <v>0</v>
      </c>
      <c r="D93" s="158">
        <f>($G37*H37)*VLOOKUP(H$9,Oppslag!$AT:$AV,2,FALSE)</f>
        <v>0</v>
      </c>
      <c r="E93" s="265">
        <f>($F37*J37)*VLOOKUP(J$9,Oppslag!$AT:$AV,2,FALSE)</f>
        <v>0</v>
      </c>
      <c r="F93" s="265">
        <f>($G37*J37)*VLOOKUP(J$9,Oppslag!$AT:$AV,2,FALSE)</f>
        <v>0</v>
      </c>
      <c r="G93" s="158">
        <f>($F37*L37)*VLOOKUP(L$9,Oppslag!$AT:$AV,2,FALSE)</f>
        <v>0</v>
      </c>
      <c r="H93" s="158">
        <f>($G37*L37)*VLOOKUP(L$9,Oppslag!$AT:$AV,2,FALSE)</f>
        <v>0</v>
      </c>
      <c r="I93" s="265">
        <f>($F37*N37)*VLOOKUP(N$9,Oppslag!$AT:$AV,2,FALSE)</f>
        <v>0</v>
      </c>
      <c r="J93" s="265">
        <f>($G37*N37)*VLOOKUP(N$9,Oppslag!$AT:$AV,2,FALSE)</f>
        <v>0</v>
      </c>
      <c r="K93" s="158">
        <f>($F37*P37)*VLOOKUP(P$9,Oppslag!$AT:$AV,2,FALSE)</f>
        <v>0</v>
      </c>
      <c r="L93" s="158">
        <f>($G37*P37)*VLOOKUP(P$9,Oppslag!$AT:$AV,2,FALSE)</f>
        <v>0</v>
      </c>
      <c r="M93" s="265">
        <f>($F37*R37)*VLOOKUP(R$9,Oppslag!$AT:$AV,2,FALSE)</f>
        <v>0</v>
      </c>
      <c r="N93" s="265">
        <f>($G37*R37)*VLOOKUP(R$9,Oppslag!$AT:$AV,2,FALSE)</f>
        <v>0</v>
      </c>
      <c r="O93" s="158">
        <f>($F37*T37)*VLOOKUP(T$9,Oppslag!$AT:$AV,2,FALSE)</f>
        <v>0</v>
      </c>
      <c r="P93" s="158">
        <f>($G37*T37)*VLOOKUP(T$9,Oppslag!$AT:$AV,2,FALSE)</f>
        <v>0</v>
      </c>
      <c r="Q93" s="265">
        <f>($F37*V37)*VLOOKUP(V$9,Oppslag!$AT:$AV,2,FALSE)</f>
        <v>0</v>
      </c>
      <c r="R93" s="265">
        <f>($G37*V37)*VLOOKUP(V$9,Oppslag!$AT:$AV,2,FALSE)</f>
        <v>0</v>
      </c>
      <c r="S93" s="158">
        <f>($F37*X37)*VLOOKUP(X$9,Oppslag!$AT:$AV,2,FALSE)</f>
        <v>0</v>
      </c>
      <c r="T93" s="158">
        <f>($G37*X37)*VLOOKUP(X$9,Oppslag!$AT:$AV,2,FALSE)</f>
        <v>0</v>
      </c>
      <c r="U93" s="265">
        <f>($F37*Z37)*VLOOKUP(Z$9,Oppslag!$AT:$AV,2,FALSE)</f>
        <v>0</v>
      </c>
      <c r="V93" s="265">
        <f>($G37*Z37)*VLOOKUP(Z$9,Oppslag!$AT:$AV,2,FALSE)</f>
        <v>0</v>
      </c>
      <c r="W93" s="158">
        <f>($F37*AB37)*VLOOKUP(AB$9,Oppslag!$AT:$AV,2,FALSE)</f>
        <v>0</v>
      </c>
      <c r="X93" s="158">
        <f>($G37*AB37)*VLOOKUP(AB$9,Oppslag!$AT:$AV,2,FALSE)</f>
        <v>0</v>
      </c>
      <c r="Y93" s="265">
        <f>($F37*AD37)*VLOOKUP(AD$9,Oppslag!$AT:$AV,2,FALSE)</f>
        <v>0</v>
      </c>
      <c r="Z93" s="265">
        <f>($G37*AD37)*VLOOKUP(AD$9,Oppslag!$AT:$AV,2,FALSE)</f>
        <v>0</v>
      </c>
      <c r="AA93" s="177">
        <f t="shared" si="44"/>
        <v>0</v>
      </c>
    </row>
    <row r="94" spans="2:27" hidden="1" outlineLevel="1" x14ac:dyDescent="0.25">
      <c r="B94" s="177">
        <f t="shared" si="43"/>
        <v>0</v>
      </c>
      <c r="C94" s="159">
        <f>($F38*H38)*VLOOKUP(H$9,Oppslag!$AT:$AV,2,FALSE)</f>
        <v>0</v>
      </c>
      <c r="D94" s="158">
        <f>($G38*H38)*VLOOKUP(H$9,Oppslag!$AT:$AV,2,FALSE)</f>
        <v>0</v>
      </c>
      <c r="E94" s="265">
        <f>($F38*J38)*VLOOKUP(J$9,Oppslag!$AT:$AV,2,FALSE)</f>
        <v>0</v>
      </c>
      <c r="F94" s="265">
        <f>($G38*J38)*VLOOKUP(J$9,Oppslag!$AT:$AV,2,FALSE)</f>
        <v>0</v>
      </c>
      <c r="G94" s="158">
        <f>($F38*L38)*VLOOKUP(L$9,Oppslag!$AT:$AV,2,FALSE)</f>
        <v>0</v>
      </c>
      <c r="H94" s="158">
        <f>($G38*L38)*VLOOKUP(L$9,Oppslag!$AT:$AV,2,FALSE)</f>
        <v>0</v>
      </c>
      <c r="I94" s="265">
        <f>($F38*N38)*VLOOKUP(N$9,Oppslag!$AT:$AV,2,FALSE)</f>
        <v>0</v>
      </c>
      <c r="J94" s="265">
        <f>($G38*N38)*VLOOKUP(N$9,Oppslag!$AT:$AV,2,FALSE)</f>
        <v>0</v>
      </c>
      <c r="K94" s="158">
        <f>($F38*P38)*VLOOKUP(P$9,Oppslag!$AT:$AV,2,FALSE)</f>
        <v>0</v>
      </c>
      <c r="L94" s="158">
        <f>($G38*P38)*VLOOKUP(P$9,Oppslag!$AT:$AV,2,FALSE)</f>
        <v>0</v>
      </c>
      <c r="M94" s="265">
        <f>($F38*R38)*VLOOKUP(R$9,Oppslag!$AT:$AV,2,FALSE)</f>
        <v>0</v>
      </c>
      <c r="N94" s="265">
        <f>($G38*R38)*VLOOKUP(R$9,Oppslag!$AT:$AV,2,FALSE)</f>
        <v>0</v>
      </c>
      <c r="O94" s="158">
        <f>($F38*T38)*VLOOKUP(T$9,Oppslag!$AT:$AV,2,FALSE)</f>
        <v>0</v>
      </c>
      <c r="P94" s="158">
        <f>($G38*T38)*VLOOKUP(T$9,Oppslag!$AT:$AV,2,FALSE)</f>
        <v>0</v>
      </c>
      <c r="Q94" s="265">
        <f>($F38*V38)*VLOOKUP(V$9,Oppslag!$AT:$AV,2,FALSE)</f>
        <v>0</v>
      </c>
      <c r="R94" s="265">
        <f>($G38*V38)*VLOOKUP(V$9,Oppslag!$AT:$AV,2,FALSE)</f>
        <v>0</v>
      </c>
      <c r="S94" s="158">
        <f>($F38*X38)*VLOOKUP(X$9,Oppslag!$AT:$AV,2,FALSE)</f>
        <v>0</v>
      </c>
      <c r="T94" s="158">
        <f>($G38*X38)*VLOOKUP(X$9,Oppslag!$AT:$AV,2,FALSE)</f>
        <v>0</v>
      </c>
      <c r="U94" s="265">
        <f>($F38*Z38)*VLOOKUP(Z$9,Oppslag!$AT:$AV,2,FALSE)</f>
        <v>0</v>
      </c>
      <c r="V94" s="265">
        <f>($G38*Z38)*VLOOKUP(Z$9,Oppslag!$AT:$AV,2,FALSE)</f>
        <v>0</v>
      </c>
      <c r="W94" s="158">
        <f>($F38*AB38)*VLOOKUP(AB$9,Oppslag!$AT:$AV,2,FALSE)</f>
        <v>0</v>
      </c>
      <c r="X94" s="158">
        <f>($G38*AB38)*VLOOKUP(AB$9,Oppslag!$AT:$AV,2,FALSE)</f>
        <v>0</v>
      </c>
      <c r="Y94" s="265">
        <f>($F38*AD38)*VLOOKUP(AD$9,Oppslag!$AT:$AV,2,FALSE)</f>
        <v>0</v>
      </c>
      <c r="Z94" s="265">
        <f>($G38*AD38)*VLOOKUP(AD$9,Oppslag!$AT:$AV,2,FALSE)</f>
        <v>0</v>
      </c>
      <c r="AA94" s="177">
        <f t="shared" si="44"/>
        <v>0</v>
      </c>
    </row>
    <row r="95" spans="2:27" hidden="1" outlineLevel="1" x14ac:dyDescent="0.25">
      <c r="B95" s="177">
        <f t="shared" si="43"/>
        <v>0</v>
      </c>
      <c r="C95" s="159">
        <f>($F39*H39)*VLOOKUP(H$9,Oppslag!$AT:$AV,2,FALSE)</f>
        <v>0</v>
      </c>
      <c r="D95" s="158">
        <f>($G39*H39)*VLOOKUP(H$9,Oppslag!$AT:$AV,2,FALSE)</f>
        <v>0</v>
      </c>
      <c r="E95" s="265">
        <f>($F39*J39)*VLOOKUP(J$9,Oppslag!$AT:$AV,2,FALSE)</f>
        <v>0</v>
      </c>
      <c r="F95" s="265">
        <f>($G39*J39)*VLOOKUP(J$9,Oppslag!$AT:$AV,2,FALSE)</f>
        <v>0</v>
      </c>
      <c r="G95" s="158">
        <f>($F39*L39)*VLOOKUP(L$9,Oppslag!$AT:$AV,2,FALSE)</f>
        <v>0</v>
      </c>
      <c r="H95" s="158">
        <f>($G39*L39)*VLOOKUP(L$9,Oppslag!$AT:$AV,2,FALSE)</f>
        <v>0</v>
      </c>
      <c r="I95" s="265">
        <f>($F39*N39)*VLOOKUP(N$9,Oppslag!$AT:$AV,2,FALSE)</f>
        <v>0</v>
      </c>
      <c r="J95" s="265">
        <f>($G39*N39)*VLOOKUP(N$9,Oppslag!$AT:$AV,2,FALSE)</f>
        <v>0</v>
      </c>
      <c r="K95" s="158">
        <f>($F39*P39)*VLOOKUP(P$9,Oppslag!$AT:$AV,2,FALSE)</f>
        <v>0</v>
      </c>
      <c r="L95" s="158">
        <f>($G39*P39)*VLOOKUP(P$9,Oppslag!$AT:$AV,2,FALSE)</f>
        <v>0</v>
      </c>
      <c r="M95" s="265">
        <f>($F39*R39)*VLOOKUP(R$9,Oppslag!$AT:$AV,2,FALSE)</f>
        <v>0</v>
      </c>
      <c r="N95" s="265">
        <f>($G39*R39)*VLOOKUP(R$9,Oppslag!$AT:$AV,2,FALSE)</f>
        <v>0</v>
      </c>
      <c r="O95" s="158">
        <f>($F39*T39)*VLOOKUP(T$9,Oppslag!$AT:$AV,2,FALSE)</f>
        <v>0</v>
      </c>
      <c r="P95" s="158">
        <f>($G39*T39)*VLOOKUP(T$9,Oppslag!$AT:$AV,2,FALSE)</f>
        <v>0</v>
      </c>
      <c r="Q95" s="265">
        <f>($F39*V39)*VLOOKUP(V$9,Oppslag!$AT:$AV,2,FALSE)</f>
        <v>0</v>
      </c>
      <c r="R95" s="265">
        <f>($G39*V39)*VLOOKUP(V$9,Oppslag!$AT:$AV,2,FALSE)</f>
        <v>0</v>
      </c>
      <c r="S95" s="158">
        <f>($F39*X39)*VLOOKUP(X$9,Oppslag!$AT:$AV,2,FALSE)</f>
        <v>0</v>
      </c>
      <c r="T95" s="158">
        <f>($G39*X39)*VLOOKUP(X$9,Oppslag!$AT:$AV,2,FALSE)</f>
        <v>0</v>
      </c>
      <c r="U95" s="265">
        <f>($F39*Z39)*VLOOKUP(Z$9,Oppslag!$AT:$AV,2,FALSE)</f>
        <v>0</v>
      </c>
      <c r="V95" s="265">
        <f>($G39*Z39)*VLOOKUP(Z$9,Oppslag!$AT:$AV,2,FALSE)</f>
        <v>0</v>
      </c>
      <c r="W95" s="158">
        <f>($F39*AB39)*VLOOKUP(AB$9,Oppslag!$AT:$AV,2,FALSE)</f>
        <v>0</v>
      </c>
      <c r="X95" s="158">
        <f>($G39*AB39)*VLOOKUP(AB$9,Oppslag!$AT:$AV,2,FALSE)</f>
        <v>0</v>
      </c>
      <c r="Y95" s="265">
        <f>($F39*AD39)*VLOOKUP(AD$9,Oppslag!$AT:$AV,2,FALSE)</f>
        <v>0</v>
      </c>
      <c r="Z95" s="265">
        <f>($G39*AD39)*VLOOKUP(AD$9,Oppslag!$AT:$AV,2,FALSE)</f>
        <v>0</v>
      </c>
      <c r="AA95" s="177">
        <f t="shared" si="44"/>
        <v>0</v>
      </c>
    </row>
    <row r="96" spans="2:27" hidden="1" outlineLevel="1" x14ac:dyDescent="0.25">
      <c r="B96" s="177">
        <f t="shared" si="43"/>
        <v>0</v>
      </c>
      <c r="C96" s="159">
        <f>($F40*H40)*VLOOKUP(H$9,Oppslag!$AT:$AV,2,FALSE)</f>
        <v>0</v>
      </c>
      <c r="D96" s="158">
        <f>($G40*H40)*VLOOKUP(H$9,Oppslag!$AT:$AV,2,FALSE)</f>
        <v>0</v>
      </c>
      <c r="E96" s="265">
        <f>($F40*J40)*VLOOKUP(J$9,Oppslag!$AT:$AV,2,FALSE)</f>
        <v>0</v>
      </c>
      <c r="F96" s="265">
        <f>($G40*J40)*VLOOKUP(J$9,Oppslag!$AT:$AV,2,FALSE)</f>
        <v>0</v>
      </c>
      <c r="G96" s="158">
        <f>($F40*L40)*VLOOKUP(L$9,Oppslag!$AT:$AV,2,FALSE)</f>
        <v>0</v>
      </c>
      <c r="H96" s="158">
        <f>($G40*L40)*VLOOKUP(L$9,Oppslag!$AT:$AV,2,FALSE)</f>
        <v>0</v>
      </c>
      <c r="I96" s="265">
        <f>($F40*N40)*VLOOKUP(N$9,Oppslag!$AT:$AV,2,FALSE)</f>
        <v>0</v>
      </c>
      <c r="J96" s="265">
        <f>($G40*N40)*VLOOKUP(N$9,Oppslag!$AT:$AV,2,FALSE)</f>
        <v>0</v>
      </c>
      <c r="K96" s="158">
        <f>($F40*P40)*VLOOKUP(P$9,Oppslag!$AT:$AV,2,FALSE)</f>
        <v>0</v>
      </c>
      <c r="L96" s="158">
        <f>($G40*P40)*VLOOKUP(P$9,Oppslag!$AT:$AV,2,FALSE)</f>
        <v>0</v>
      </c>
      <c r="M96" s="265">
        <f>($F40*R40)*VLOOKUP(R$9,Oppslag!$AT:$AV,2,FALSE)</f>
        <v>0</v>
      </c>
      <c r="N96" s="265">
        <f>($G40*R40)*VLOOKUP(R$9,Oppslag!$AT:$AV,2,FALSE)</f>
        <v>0</v>
      </c>
      <c r="O96" s="158">
        <f>($F40*T40)*VLOOKUP(T$9,Oppslag!$AT:$AV,2,FALSE)</f>
        <v>0</v>
      </c>
      <c r="P96" s="158">
        <f>($G40*T40)*VLOOKUP(T$9,Oppslag!$AT:$AV,2,FALSE)</f>
        <v>0</v>
      </c>
      <c r="Q96" s="265">
        <f>($F40*V40)*VLOOKUP(V$9,Oppslag!$AT:$AV,2,FALSE)</f>
        <v>0</v>
      </c>
      <c r="R96" s="265">
        <f>($G40*V40)*VLOOKUP(V$9,Oppslag!$AT:$AV,2,FALSE)</f>
        <v>0</v>
      </c>
      <c r="S96" s="158">
        <f>($F40*X40)*VLOOKUP(X$9,Oppslag!$AT:$AV,2,FALSE)</f>
        <v>0</v>
      </c>
      <c r="T96" s="158">
        <f>($G40*X40)*VLOOKUP(X$9,Oppslag!$AT:$AV,2,FALSE)</f>
        <v>0</v>
      </c>
      <c r="U96" s="265">
        <f>($F40*Z40)*VLOOKUP(Z$9,Oppslag!$AT:$AV,2,FALSE)</f>
        <v>0</v>
      </c>
      <c r="V96" s="265">
        <f>($G40*Z40)*VLOOKUP(Z$9,Oppslag!$AT:$AV,2,FALSE)</f>
        <v>0</v>
      </c>
      <c r="W96" s="158">
        <f>($F40*AB40)*VLOOKUP(AB$9,Oppslag!$AT:$AV,2,FALSE)</f>
        <v>0</v>
      </c>
      <c r="X96" s="158">
        <f>($G40*AB40)*VLOOKUP(AB$9,Oppslag!$AT:$AV,2,FALSE)</f>
        <v>0</v>
      </c>
      <c r="Y96" s="265">
        <f>($F40*AD40)*VLOOKUP(AD$9,Oppslag!$AT:$AV,2,FALSE)</f>
        <v>0</v>
      </c>
      <c r="Z96" s="265">
        <f>($G40*AD40)*VLOOKUP(AD$9,Oppslag!$AT:$AV,2,FALSE)</f>
        <v>0</v>
      </c>
      <c r="AA96" s="177">
        <f t="shared" si="44"/>
        <v>0</v>
      </c>
    </row>
    <row r="97" spans="2:27" hidden="1" outlineLevel="1" x14ac:dyDescent="0.25">
      <c r="B97" s="177">
        <f t="shared" si="43"/>
        <v>0</v>
      </c>
      <c r="C97" s="159">
        <f>($F41*H41)*VLOOKUP(H$9,Oppslag!$AT:$AV,2,FALSE)</f>
        <v>0</v>
      </c>
      <c r="D97" s="158">
        <f>($G41*H41)*VLOOKUP(H$9,Oppslag!$AT:$AV,2,FALSE)</f>
        <v>0</v>
      </c>
      <c r="E97" s="265">
        <f>($F41*J41)*VLOOKUP(J$9,Oppslag!$AT:$AV,2,FALSE)</f>
        <v>0</v>
      </c>
      <c r="F97" s="265">
        <f>($G41*J41)*VLOOKUP(J$9,Oppslag!$AT:$AV,2,FALSE)</f>
        <v>0</v>
      </c>
      <c r="G97" s="158">
        <f>($F41*L41)*VLOOKUP(L$9,Oppslag!$AT:$AV,2,FALSE)</f>
        <v>0</v>
      </c>
      <c r="H97" s="158">
        <f>($G41*L41)*VLOOKUP(L$9,Oppslag!$AT:$AV,2,FALSE)</f>
        <v>0</v>
      </c>
      <c r="I97" s="265">
        <f>($F41*N41)*VLOOKUP(N$9,Oppslag!$AT:$AV,2,FALSE)</f>
        <v>0</v>
      </c>
      <c r="J97" s="265">
        <f>($G41*N41)*VLOOKUP(N$9,Oppslag!$AT:$AV,2,FALSE)</f>
        <v>0</v>
      </c>
      <c r="K97" s="158">
        <f>($F41*P41)*VLOOKUP(P$9,Oppslag!$AT:$AV,2,FALSE)</f>
        <v>0</v>
      </c>
      <c r="L97" s="158">
        <f>($G41*P41)*VLOOKUP(P$9,Oppslag!$AT:$AV,2,FALSE)</f>
        <v>0</v>
      </c>
      <c r="M97" s="265">
        <f>($F41*R41)*VLOOKUP(R$9,Oppslag!$AT:$AV,2,FALSE)</f>
        <v>0</v>
      </c>
      <c r="N97" s="265">
        <f>($G41*R41)*VLOOKUP(R$9,Oppslag!$AT:$AV,2,FALSE)</f>
        <v>0</v>
      </c>
      <c r="O97" s="158">
        <f>($F41*T41)*VLOOKUP(T$9,Oppslag!$AT:$AV,2,FALSE)</f>
        <v>0</v>
      </c>
      <c r="P97" s="158">
        <f>($G41*T41)*VLOOKUP(T$9,Oppslag!$AT:$AV,2,FALSE)</f>
        <v>0</v>
      </c>
      <c r="Q97" s="265">
        <f>($F41*V41)*VLOOKUP(V$9,Oppslag!$AT:$AV,2,FALSE)</f>
        <v>0</v>
      </c>
      <c r="R97" s="265">
        <f>($G41*V41)*VLOOKUP(V$9,Oppslag!$AT:$AV,2,FALSE)</f>
        <v>0</v>
      </c>
      <c r="S97" s="158">
        <f>($F41*X41)*VLOOKUP(X$9,Oppslag!$AT:$AV,2,FALSE)</f>
        <v>0</v>
      </c>
      <c r="T97" s="158">
        <f>($G41*X41)*VLOOKUP(X$9,Oppslag!$AT:$AV,2,FALSE)</f>
        <v>0</v>
      </c>
      <c r="U97" s="265">
        <f>($F41*Z41)*VLOOKUP(Z$9,Oppslag!$AT:$AV,2,FALSE)</f>
        <v>0</v>
      </c>
      <c r="V97" s="265">
        <f>($G41*Z41)*VLOOKUP(Z$9,Oppslag!$AT:$AV,2,FALSE)</f>
        <v>0</v>
      </c>
      <c r="W97" s="158">
        <f>($F41*AB41)*VLOOKUP(AB$9,Oppslag!$AT:$AV,2,FALSE)</f>
        <v>0</v>
      </c>
      <c r="X97" s="158">
        <f>($G41*AB41)*VLOOKUP(AB$9,Oppslag!$AT:$AV,2,FALSE)</f>
        <v>0</v>
      </c>
      <c r="Y97" s="265">
        <f>($F41*AD41)*VLOOKUP(AD$9,Oppslag!$AT:$AV,2,FALSE)</f>
        <v>0</v>
      </c>
      <c r="Z97" s="265">
        <f>($G41*AD41)*VLOOKUP(AD$9,Oppslag!$AT:$AV,2,FALSE)</f>
        <v>0</v>
      </c>
      <c r="AA97" s="177">
        <f t="shared" si="44"/>
        <v>0</v>
      </c>
    </row>
    <row r="98" spans="2:27" hidden="1" outlineLevel="1" x14ac:dyDescent="0.25">
      <c r="B98" s="177">
        <f t="shared" si="43"/>
        <v>0</v>
      </c>
      <c r="C98" s="159">
        <f>($F42*H42)*VLOOKUP(H$9,Oppslag!$AT:$AV,2,FALSE)</f>
        <v>0</v>
      </c>
      <c r="D98" s="158">
        <f>($G42*H42)*VLOOKUP(H$9,Oppslag!$AT:$AV,2,FALSE)</f>
        <v>0</v>
      </c>
      <c r="E98" s="265">
        <f>($F42*J42)*VLOOKUP(J$9,Oppslag!$AT:$AV,2,FALSE)</f>
        <v>0</v>
      </c>
      <c r="F98" s="265">
        <f>($G42*J42)*VLOOKUP(J$9,Oppslag!$AT:$AV,2,FALSE)</f>
        <v>0</v>
      </c>
      <c r="G98" s="158">
        <f>($F42*L42)*VLOOKUP(L$9,Oppslag!$AT:$AV,2,FALSE)</f>
        <v>0</v>
      </c>
      <c r="H98" s="158">
        <f>($G42*L42)*VLOOKUP(L$9,Oppslag!$AT:$AV,2,FALSE)</f>
        <v>0</v>
      </c>
      <c r="I98" s="265">
        <f>($F42*N42)*VLOOKUP(N$9,Oppslag!$AT:$AV,2,FALSE)</f>
        <v>0</v>
      </c>
      <c r="J98" s="265">
        <f>($G42*N42)*VLOOKUP(N$9,Oppslag!$AT:$AV,2,FALSE)</f>
        <v>0</v>
      </c>
      <c r="K98" s="158">
        <f>($F42*P42)*VLOOKUP(P$9,Oppslag!$AT:$AV,2,FALSE)</f>
        <v>0</v>
      </c>
      <c r="L98" s="158">
        <f>($G42*P42)*VLOOKUP(P$9,Oppslag!$AT:$AV,2,FALSE)</f>
        <v>0</v>
      </c>
      <c r="M98" s="265">
        <f>($F42*R42)*VLOOKUP(R$9,Oppslag!$AT:$AV,2,FALSE)</f>
        <v>0</v>
      </c>
      <c r="N98" s="265">
        <f>($G42*R42)*VLOOKUP(R$9,Oppslag!$AT:$AV,2,FALSE)</f>
        <v>0</v>
      </c>
      <c r="O98" s="158">
        <f>($F42*T42)*VLOOKUP(T$9,Oppslag!$AT:$AV,2,FALSE)</f>
        <v>0</v>
      </c>
      <c r="P98" s="158">
        <f>($G42*T42)*VLOOKUP(T$9,Oppslag!$AT:$AV,2,FALSE)</f>
        <v>0</v>
      </c>
      <c r="Q98" s="265">
        <f>($F42*V42)*VLOOKUP(V$9,Oppslag!$AT:$AV,2,FALSE)</f>
        <v>0</v>
      </c>
      <c r="R98" s="265">
        <f>($G42*V42)*VLOOKUP(V$9,Oppslag!$AT:$AV,2,FALSE)</f>
        <v>0</v>
      </c>
      <c r="S98" s="158">
        <f>($F42*X42)*VLOOKUP(X$9,Oppslag!$AT:$AV,2,FALSE)</f>
        <v>0</v>
      </c>
      <c r="T98" s="158">
        <f>($G42*X42)*VLOOKUP(X$9,Oppslag!$AT:$AV,2,FALSE)</f>
        <v>0</v>
      </c>
      <c r="U98" s="265">
        <f>($F42*Z42)*VLOOKUP(Z$9,Oppslag!$AT:$AV,2,FALSE)</f>
        <v>0</v>
      </c>
      <c r="V98" s="265">
        <f>($G42*Z42)*VLOOKUP(Z$9,Oppslag!$AT:$AV,2,FALSE)</f>
        <v>0</v>
      </c>
      <c r="W98" s="158">
        <f>($F42*AB42)*VLOOKUP(AB$9,Oppslag!$AT:$AV,2,FALSE)</f>
        <v>0</v>
      </c>
      <c r="X98" s="158">
        <f>($G42*AB42)*VLOOKUP(AB$9,Oppslag!$AT:$AV,2,FALSE)</f>
        <v>0</v>
      </c>
      <c r="Y98" s="265">
        <f>($F42*AD42)*VLOOKUP(AD$9,Oppslag!$AT:$AV,2,FALSE)</f>
        <v>0</v>
      </c>
      <c r="Z98" s="265">
        <f>($G42*AD42)*VLOOKUP(AD$9,Oppslag!$AT:$AV,2,FALSE)</f>
        <v>0</v>
      </c>
      <c r="AA98" s="177">
        <f t="shared" si="44"/>
        <v>0</v>
      </c>
    </row>
    <row r="99" spans="2:27" hidden="1" outlineLevel="1" x14ac:dyDescent="0.25">
      <c r="B99" s="177">
        <f t="shared" si="43"/>
        <v>0</v>
      </c>
      <c r="C99" s="159">
        <f>($F43*H43)*VLOOKUP(H$9,Oppslag!$AT:$AV,2,FALSE)</f>
        <v>0</v>
      </c>
      <c r="D99" s="158">
        <f>($G43*H43)*VLOOKUP(H$9,Oppslag!$AT:$AV,2,FALSE)</f>
        <v>0</v>
      </c>
      <c r="E99" s="265">
        <f>($F43*J43)*VLOOKUP(J$9,Oppslag!$AT:$AV,2,FALSE)</f>
        <v>0</v>
      </c>
      <c r="F99" s="265">
        <f>($G43*J43)*VLOOKUP(J$9,Oppslag!$AT:$AV,2,FALSE)</f>
        <v>0</v>
      </c>
      <c r="G99" s="158">
        <f>($F43*L43)*VLOOKUP(L$9,Oppslag!$AT:$AV,2,FALSE)</f>
        <v>0</v>
      </c>
      <c r="H99" s="158">
        <f>($G43*L43)*VLOOKUP(L$9,Oppslag!$AT:$AV,2,FALSE)</f>
        <v>0</v>
      </c>
      <c r="I99" s="265">
        <f>($F43*N43)*VLOOKUP(N$9,Oppslag!$AT:$AV,2,FALSE)</f>
        <v>0</v>
      </c>
      <c r="J99" s="265">
        <f>($G43*N43)*VLOOKUP(N$9,Oppslag!$AT:$AV,2,FALSE)</f>
        <v>0</v>
      </c>
      <c r="K99" s="158">
        <f>($F43*P43)*VLOOKUP(P$9,Oppslag!$AT:$AV,2,FALSE)</f>
        <v>0</v>
      </c>
      <c r="L99" s="158">
        <f>($G43*P43)*VLOOKUP(P$9,Oppslag!$AT:$AV,2,FALSE)</f>
        <v>0</v>
      </c>
      <c r="M99" s="265">
        <f>($F43*R43)*VLOOKUP(R$9,Oppslag!$AT:$AV,2,FALSE)</f>
        <v>0</v>
      </c>
      <c r="N99" s="265">
        <f>($G43*R43)*VLOOKUP(R$9,Oppslag!$AT:$AV,2,FALSE)</f>
        <v>0</v>
      </c>
      <c r="O99" s="158">
        <f>($F43*T43)*VLOOKUP(T$9,Oppslag!$AT:$AV,2,FALSE)</f>
        <v>0</v>
      </c>
      <c r="P99" s="158">
        <f>($G43*T43)*VLOOKUP(T$9,Oppslag!$AT:$AV,2,FALSE)</f>
        <v>0</v>
      </c>
      <c r="Q99" s="265">
        <f>($F43*V43)*VLOOKUP(V$9,Oppslag!$AT:$AV,2,FALSE)</f>
        <v>0</v>
      </c>
      <c r="R99" s="265">
        <f>($G43*V43)*VLOOKUP(V$9,Oppslag!$AT:$AV,2,FALSE)</f>
        <v>0</v>
      </c>
      <c r="S99" s="158">
        <f>($F43*X43)*VLOOKUP(X$9,Oppslag!$AT:$AV,2,FALSE)</f>
        <v>0</v>
      </c>
      <c r="T99" s="158">
        <f>($G43*X43)*VLOOKUP(X$9,Oppslag!$AT:$AV,2,FALSE)</f>
        <v>0</v>
      </c>
      <c r="U99" s="265">
        <f>($F43*Z43)*VLOOKUP(Z$9,Oppslag!$AT:$AV,2,FALSE)</f>
        <v>0</v>
      </c>
      <c r="V99" s="265">
        <f>($G43*Z43)*VLOOKUP(Z$9,Oppslag!$AT:$AV,2,FALSE)</f>
        <v>0</v>
      </c>
      <c r="W99" s="158">
        <f>($F43*AB43)*VLOOKUP(AB$9,Oppslag!$AT:$AV,2,FALSE)</f>
        <v>0</v>
      </c>
      <c r="X99" s="158">
        <f>($G43*AB43)*VLOOKUP(AB$9,Oppslag!$AT:$AV,2,FALSE)</f>
        <v>0</v>
      </c>
      <c r="Y99" s="265">
        <f>($F43*AD43)*VLOOKUP(AD$9,Oppslag!$AT:$AV,2,FALSE)</f>
        <v>0</v>
      </c>
      <c r="Z99" s="265">
        <f>($G43*AD43)*VLOOKUP(AD$9,Oppslag!$AT:$AV,2,FALSE)</f>
        <v>0</v>
      </c>
      <c r="AA99" s="177">
        <f t="shared" si="44"/>
        <v>0</v>
      </c>
    </row>
    <row r="100" spans="2:27" hidden="1" outlineLevel="1" x14ac:dyDescent="0.25">
      <c r="B100" s="177">
        <f t="shared" si="43"/>
        <v>0</v>
      </c>
      <c r="C100" s="159">
        <f>($F44*H44)*VLOOKUP(H$9,Oppslag!$AT:$AV,2,FALSE)</f>
        <v>0</v>
      </c>
      <c r="D100" s="158">
        <f>($G44*H44)*VLOOKUP(H$9,Oppslag!$AT:$AV,2,FALSE)</f>
        <v>0</v>
      </c>
      <c r="E100" s="265">
        <f>($F44*J44)*VLOOKUP(J$9,Oppslag!$AT:$AV,2,FALSE)</f>
        <v>0</v>
      </c>
      <c r="F100" s="265">
        <f>($G44*J44)*VLOOKUP(J$9,Oppslag!$AT:$AV,2,FALSE)</f>
        <v>0</v>
      </c>
      <c r="G100" s="158">
        <f>($F44*L44)*VLOOKUP(L$9,Oppslag!$AT:$AV,2,FALSE)</f>
        <v>0</v>
      </c>
      <c r="H100" s="158">
        <f>($G44*L44)*VLOOKUP(L$9,Oppslag!$AT:$AV,2,FALSE)</f>
        <v>0</v>
      </c>
      <c r="I100" s="265">
        <f>($F44*N44)*VLOOKUP(N$9,Oppslag!$AT:$AV,2,FALSE)</f>
        <v>0</v>
      </c>
      <c r="J100" s="265">
        <f>($G44*N44)*VLOOKUP(N$9,Oppslag!$AT:$AV,2,FALSE)</f>
        <v>0</v>
      </c>
      <c r="K100" s="158">
        <f>($F44*P44)*VLOOKUP(P$9,Oppslag!$AT:$AV,2,FALSE)</f>
        <v>0</v>
      </c>
      <c r="L100" s="158">
        <f>($G44*P44)*VLOOKUP(P$9,Oppslag!$AT:$AV,2,FALSE)</f>
        <v>0</v>
      </c>
      <c r="M100" s="265">
        <f>($F44*R44)*VLOOKUP(R$9,Oppslag!$AT:$AV,2,FALSE)</f>
        <v>0</v>
      </c>
      <c r="N100" s="265">
        <f>($G44*R44)*VLOOKUP(R$9,Oppslag!$AT:$AV,2,FALSE)</f>
        <v>0</v>
      </c>
      <c r="O100" s="158">
        <f>($F44*T44)*VLOOKUP(T$9,Oppslag!$AT:$AV,2,FALSE)</f>
        <v>0</v>
      </c>
      <c r="P100" s="158">
        <f>($G44*T44)*VLOOKUP(T$9,Oppslag!$AT:$AV,2,FALSE)</f>
        <v>0</v>
      </c>
      <c r="Q100" s="265">
        <f>($F44*V44)*VLOOKUP(V$9,Oppslag!$AT:$AV,2,FALSE)</f>
        <v>0</v>
      </c>
      <c r="R100" s="265">
        <f>($G44*V44)*VLOOKUP(V$9,Oppslag!$AT:$AV,2,FALSE)</f>
        <v>0</v>
      </c>
      <c r="S100" s="158">
        <f>($F44*X44)*VLOOKUP(X$9,Oppslag!$AT:$AV,2,FALSE)</f>
        <v>0</v>
      </c>
      <c r="T100" s="158">
        <f>($G44*X44)*VLOOKUP(X$9,Oppslag!$AT:$AV,2,FALSE)</f>
        <v>0</v>
      </c>
      <c r="U100" s="265">
        <f>($F44*Z44)*VLOOKUP(Z$9,Oppslag!$AT:$AV,2,FALSE)</f>
        <v>0</v>
      </c>
      <c r="V100" s="265">
        <f>($G44*Z44)*VLOOKUP(Z$9,Oppslag!$AT:$AV,2,FALSE)</f>
        <v>0</v>
      </c>
      <c r="W100" s="158">
        <f>($F44*AB44)*VLOOKUP(AB$9,Oppslag!$AT:$AV,2,FALSE)</f>
        <v>0</v>
      </c>
      <c r="X100" s="158">
        <f>($G44*AB44)*VLOOKUP(AB$9,Oppslag!$AT:$AV,2,FALSE)</f>
        <v>0</v>
      </c>
      <c r="Y100" s="265">
        <f>($F44*AD44)*VLOOKUP(AD$9,Oppslag!$AT:$AV,2,FALSE)</f>
        <v>0</v>
      </c>
      <c r="Z100" s="265">
        <f>($G44*AD44)*VLOOKUP(AD$9,Oppslag!$AT:$AV,2,FALSE)</f>
        <v>0</v>
      </c>
      <c r="AA100" s="177">
        <f t="shared" si="44"/>
        <v>0</v>
      </c>
    </row>
    <row r="101" spans="2:27" hidden="1" outlineLevel="1" x14ac:dyDescent="0.25">
      <c r="B101" s="177">
        <f t="shared" si="43"/>
        <v>0</v>
      </c>
      <c r="C101" s="159">
        <f>($F45*H45)*VLOOKUP(H$9,Oppslag!$AT:$AV,2,FALSE)</f>
        <v>0</v>
      </c>
      <c r="D101" s="158">
        <f>($G45*H45)*VLOOKUP(H$9,Oppslag!$AT:$AV,2,FALSE)</f>
        <v>0</v>
      </c>
      <c r="E101" s="265">
        <f>($F45*J45)*VLOOKUP(J$9,Oppslag!$AT:$AV,2,FALSE)</f>
        <v>0</v>
      </c>
      <c r="F101" s="265">
        <f>($G45*J45)*VLOOKUP(J$9,Oppslag!$AT:$AV,2,FALSE)</f>
        <v>0</v>
      </c>
      <c r="G101" s="158">
        <f>($F45*L45)*VLOOKUP(L$9,Oppslag!$AT:$AV,2,FALSE)</f>
        <v>0</v>
      </c>
      <c r="H101" s="158">
        <f>($G45*L45)*VLOOKUP(L$9,Oppslag!$AT:$AV,2,FALSE)</f>
        <v>0</v>
      </c>
      <c r="I101" s="265">
        <f>($F45*N45)*VLOOKUP(N$9,Oppslag!$AT:$AV,2,FALSE)</f>
        <v>0</v>
      </c>
      <c r="J101" s="265">
        <f>($G45*N45)*VLOOKUP(N$9,Oppslag!$AT:$AV,2,FALSE)</f>
        <v>0</v>
      </c>
      <c r="K101" s="158">
        <f>($F45*P45)*VLOOKUP(P$9,Oppslag!$AT:$AV,2,FALSE)</f>
        <v>0</v>
      </c>
      <c r="L101" s="158">
        <f>($G45*P45)*VLOOKUP(P$9,Oppslag!$AT:$AV,2,FALSE)</f>
        <v>0</v>
      </c>
      <c r="M101" s="265">
        <f>($F45*R45)*VLOOKUP(R$9,Oppslag!$AT:$AV,2,FALSE)</f>
        <v>0</v>
      </c>
      <c r="N101" s="265">
        <f>($G45*R45)*VLOOKUP(R$9,Oppslag!$AT:$AV,2,FALSE)</f>
        <v>0</v>
      </c>
      <c r="O101" s="158">
        <f>($F45*T45)*VLOOKUP(T$9,Oppslag!$AT:$AV,2,FALSE)</f>
        <v>0</v>
      </c>
      <c r="P101" s="158">
        <f>($G45*T45)*VLOOKUP(T$9,Oppslag!$AT:$AV,2,FALSE)</f>
        <v>0</v>
      </c>
      <c r="Q101" s="265">
        <f>($F45*V45)*VLOOKUP(V$9,Oppslag!$AT:$AV,2,FALSE)</f>
        <v>0</v>
      </c>
      <c r="R101" s="265">
        <f>($G45*V45)*VLOOKUP(V$9,Oppslag!$AT:$AV,2,FALSE)</f>
        <v>0</v>
      </c>
      <c r="S101" s="158">
        <f>($F45*X45)*VLOOKUP(X$9,Oppslag!$AT:$AV,2,FALSE)</f>
        <v>0</v>
      </c>
      <c r="T101" s="158">
        <f>($G45*X45)*VLOOKUP(X$9,Oppslag!$AT:$AV,2,FALSE)</f>
        <v>0</v>
      </c>
      <c r="U101" s="265">
        <f>($F45*Z45)*VLOOKUP(Z$9,Oppslag!$AT:$AV,2,FALSE)</f>
        <v>0</v>
      </c>
      <c r="V101" s="265">
        <f>($G45*Z45)*VLOOKUP(Z$9,Oppslag!$AT:$AV,2,FALSE)</f>
        <v>0</v>
      </c>
      <c r="W101" s="158">
        <f>($F45*AB45)*VLOOKUP(AB$9,Oppslag!$AT:$AV,2,FALSE)</f>
        <v>0</v>
      </c>
      <c r="X101" s="158">
        <f>($G45*AB45)*VLOOKUP(AB$9,Oppslag!$AT:$AV,2,FALSE)</f>
        <v>0</v>
      </c>
      <c r="Y101" s="265">
        <f>($F45*AD45)*VLOOKUP(AD$9,Oppslag!$AT:$AV,2,FALSE)</f>
        <v>0</v>
      </c>
      <c r="Z101" s="265">
        <f>($G45*AD45)*VLOOKUP(AD$9,Oppslag!$AT:$AV,2,FALSE)</f>
        <v>0</v>
      </c>
      <c r="AA101" s="177">
        <f t="shared" si="44"/>
        <v>0</v>
      </c>
    </row>
    <row r="102" spans="2:27" hidden="1" outlineLevel="1" x14ac:dyDescent="0.25">
      <c r="B102" s="177">
        <f t="shared" si="43"/>
        <v>0</v>
      </c>
      <c r="C102" s="159">
        <f>($F46*H46)*VLOOKUP(H$9,Oppslag!$AT:$AV,2,FALSE)</f>
        <v>0</v>
      </c>
      <c r="D102" s="158">
        <f>($G46*H46)*VLOOKUP(H$9,Oppslag!$AT:$AV,2,FALSE)</f>
        <v>0</v>
      </c>
      <c r="E102" s="265">
        <f>($F46*J46)*VLOOKUP(J$9,Oppslag!$AT:$AV,2,FALSE)</f>
        <v>0</v>
      </c>
      <c r="F102" s="265">
        <f>($G46*J46)*VLOOKUP(J$9,Oppslag!$AT:$AV,2,FALSE)</f>
        <v>0</v>
      </c>
      <c r="G102" s="158">
        <f>($F46*L46)*VLOOKUP(L$9,Oppslag!$AT:$AV,2,FALSE)</f>
        <v>0</v>
      </c>
      <c r="H102" s="158">
        <f>($G46*L46)*VLOOKUP(L$9,Oppslag!$AT:$AV,2,FALSE)</f>
        <v>0</v>
      </c>
      <c r="I102" s="265">
        <f>($F46*N46)*VLOOKUP(N$9,Oppslag!$AT:$AV,2,FALSE)</f>
        <v>0</v>
      </c>
      <c r="J102" s="265">
        <f>($G46*N46)*VLOOKUP(N$9,Oppslag!$AT:$AV,2,FALSE)</f>
        <v>0</v>
      </c>
      <c r="K102" s="158">
        <f>($F46*P46)*VLOOKUP(P$9,Oppslag!$AT:$AV,2,FALSE)</f>
        <v>0</v>
      </c>
      <c r="L102" s="158">
        <f>($G46*P46)*VLOOKUP(P$9,Oppslag!$AT:$AV,2,FALSE)</f>
        <v>0</v>
      </c>
      <c r="M102" s="265">
        <f>($F46*R46)*VLOOKUP(R$9,Oppslag!$AT:$AV,2,FALSE)</f>
        <v>0</v>
      </c>
      <c r="N102" s="265">
        <f>($G46*R46)*VLOOKUP(R$9,Oppslag!$AT:$AV,2,FALSE)</f>
        <v>0</v>
      </c>
      <c r="O102" s="158">
        <f>($F46*T46)*VLOOKUP(T$9,Oppslag!$AT:$AV,2,FALSE)</f>
        <v>0</v>
      </c>
      <c r="P102" s="158">
        <f>($G46*T46)*VLOOKUP(T$9,Oppslag!$AT:$AV,2,FALSE)</f>
        <v>0</v>
      </c>
      <c r="Q102" s="265">
        <f>($F46*V46)*VLOOKUP(V$9,Oppslag!$AT:$AV,2,FALSE)</f>
        <v>0</v>
      </c>
      <c r="R102" s="265">
        <f>($G46*V46)*VLOOKUP(V$9,Oppslag!$AT:$AV,2,FALSE)</f>
        <v>0</v>
      </c>
      <c r="S102" s="158">
        <f>($F46*X46)*VLOOKUP(X$9,Oppslag!$AT:$AV,2,FALSE)</f>
        <v>0</v>
      </c>
      <c r="T102" s="158">
        <f>($G46*X46)*VLOOKUP(X$9,Oppslag!$AT:$AV,2,FALSE)</f>
        <v>0</v>
      </c>
      <c r="U102" s="265">
        <f>($F46*Z46)*VLOOKUP(Z$9,Oppslag!$AT:$AV,2,FALSE)</f>
        <v>0</v>
      </c>
      <c r="V102" s="265">
        <f>($G46*Z46)*VLOOKUP(Z$9,Oppslag!$AT:$AV,2,FALSE)</f>
        <v>0</v>
      </c>
      <c r="W102" s="158">
        <f>($F46*AB46)*VLOOKUP(AB$9,Oppslag!$AT:$AV,2,FALSE)</f>
        <v>0</v>
      </c>
      <c r="X102" s="158">
        <f>($G46*AB46)*VLOOKUP(AB$9,Oppslag!$AT:$AV,2,FALSE)</f>
        <v>0</v>
      </c>
      <c r="Y102" s="265">
        <f>($F46*AD46)*VLOOKUP(AD$9,Oppslag!$AT:$AV,2,FALSE)</f>
        <v>0</v>
      </c>
      <c r="Z102" s="265">
        <f>($G46*AD46)*VLOOKUP(AD$9,Oppslag!$AT:$AV,2,FALSE)</f>
        <v>0</v>
      </c>
      <c r="AA102" s="177">
        <f t="shared" si="44"/>
        <v>0</v>
      </c>
    </row>
    <row r="103" spans="2:27" hidden="1" outlineLevel="1" x14ac:dyDescent="0.25">
      <c r="B103" s="177">
        <f t="shared" si="43"/>
        <v>0</v>
      </c>
      <c r="C103" s="159">
        <f>($F47*H47)*VLOOKUP(H$9,Oppslag!$AT:$AV,2,FALSE)</f>
        <v>0</v>
      </c>
      <c r="D103" s="158">
        <f>($G47*H47)*VLOOKUP(H$9,Oppslag!$AT:$AV,2,FALSE)</f>
        <v>0</v>
      </c>
      <c r="E103" s="265">
        <f>($F47*J47)*VLOOKUP(J$9,Oppslag!$AT:$AV,2,FALSE)</f>
        <v>0</v>
      </c>
      <c r="F103" s="265">
        <f>($G47*J47)*VLOOKUP(J$9,Oppslag!$AT:$AV,2,FALSE)</f>
        <v>0</v>
      </c>
      <c r="G103" s="158">
        <f>($F47*L47)*VLOOKUP(L$9,Oppslag!$AT:$AV,2,FALSE)</f>
        <v>0</v>
      </c>
      <c r="H103" s="158">
        <f>($G47*L47)*VLOOKUP(L$9,Oppslag!$AT:$AV,2,FALSE)</f>
        <v>0</v>
      </c>
      <c r="I103" s="265">
        <f>($F47*N47)*VLOOKUP(N$9,Oppslag!$AT:$AV,2,FALSE)</f>
        <v>0</v>
      </c>
      <c r="J103" s="265">
        <f>($G47*N47)*VLOOKUP(N$9,Oppslag!$AT:$AV,2,FALSE)</f>
        <v>0</v>
      </c>
      <c r="K103" s="158">
        <f>($F47*P47)*VLOOKUP(P$9,Oppslag!$AT:$AV,2,FALSE)</f>
        <v>0</v>
      </c>
      <c r="L103" s="158">
        <f>($G47*P47)*VLOOKUP(P$9,Oppslag!$AT:$AV,2,FALSE)</f>
        <v>0</v>
      </c>
      <c r="M103" s="265">
        <f>($F47*R47)*VLOOKUP(R$9,Oppslag!$AT:$AV,2,FALSE)</f>
        <v>0</v>
      </c>
      <c r="N103" s="265">
        <f>($G47*R47)*VLOOKUP(R$9,Oppslag!$AT:$AV,2,FALSE)</f>
        <v>0</v>
      </c>
      <c r="O103" s="158">
        <f>($F47*T47)*VLOOKUP(T$9,Oppslag!$AT:$AV,2,FALSE)</f>
        <v>0</v>
      </c>
      <c r="P103" s="158">
        <f>($G47*T47)*VLOOKUP(T$9,Oppslag!$AT:$AV,2,FALSE)</f>
        <v>0</v>
      </c>
      <c r="Q103" s="265">
        <f>($F47*V47)*VLOOKUP(V$9,Oppslag!$AT:$AV,2,FALSE)</f>
        <v>0</v>
      </c>
      <c r="R103" s="265">
        <f>($G47*V47)*VLOOKUP(V$9,Oppslag!$AT:$AV,2,FALSE)</f>
        <v>0</v>
      </c>
      <c r="S103" s="158">
        <f>($F47*X47)*VLOOKUP(X$9,Oppslag!$AT:$AV,2,FALSE)</f>
        <v>0</v>
      </c>
      <c r="T103" s="158">
        <f>($G47*X47)*VLOOKUP(X$9,Oppslag!$AT:$AV,2,FALSE)</f>
        <v>0</v>
      </c>
      <c r="U103" s="265">
        <f>($F47*Z47)*VLOOKUP(Z$9,Oppslag!$AT:$AV,2,FALSE)</f>
        <v>0</v>
      </c>
      <c r="V103" s="265">
        <f>($G47*Z47)*VLOOKUP(Z$9,Oppslag!$AT:$AV,2,FALSE)</f>
        <v>0</v>
      </c>
      <c r="W103" s="158">
        <f>($F47*AB47)*VLOOKUP(AB$9,Oppslag!$AT:$AV,2,FALSE)</f>
        <v>0</v>
      </c>
      <c r="X103" s="158">
        <f>($G47*AB47)*VLOOKUP(AB$9,Oppslag!$AT:$AV,2,FALSE)</f>
        <v>0</v>
      </c>
      <c r="Y103" s="265">
        <f>($F47*AD47)*VLOOKUP(AD$9,Oppslag!$AT:$AV,2,FALSE)</f>
        <v>0</v>
      </c>
      <c r="Z103" s="265">
        <f>($G47*AD47)*VLOOKUP(AD$9,Oppslag!$AT:$AV,2,FALSE)</f>
        <v>0</v>
      </c>
      <c r="AA103" s="177">
        <f t="shared" si="44"/>
        <v>0</v>
      </c>
    </row>
    <row r="104" spans="2:27" hidden="1" outlineLevel="1" x14ac:dyDescent="0.25">
      <c r="B104" s="177">
        <f t="shared" si="43"/>
        <v>0</v>
      </c>
      <c r="C104" s="159">
        <f>($F48*H48)*VLOOKUP(H$9,Oppslag!$AT:$AV,2,FALSE)</f>
        <v>0</v>
      </c>
      <c r="D104" s="158">
        <f>($G48*H48)*VLOOKUP(H$9,Oppslag!$AT:$AV,2,FALSE)</f>
        <v>0</v>
      </c>
      <c r="E104" s="265">
        <f>($F48*J48)*VLOOKUP(J$9,Oppslag!$AT:$AV,2,FALSE)</f>
        <v>0</v>
      </c>
      <c r="F104" s="265">
        <f>($G48*J48)*VLOOKUP(J$9,Oppslag!$AT:$AV,2,FALSE)</f>
        <v>0</v>
      </c>
      <c r="G104" s="158">
        <f>($F48*L48)*VLOOKUP(L$9,Oppslag!$AT:$AV,2,FALSE)</f>
        <v>0</v>
      </c>
      <c r="H104" s="158">
        <f>($G48*L48)*VLOOKUP(L$9,Oppslag!$AT:$AV,2,FALSE)</f>
        <v>0</v>
      </c>
      <c r="I104" s="265">
        <f>($F48*N48)*VLOOKUP(N$9,Oppslag!$AT:$AV,2,FALSE)</f>
        <v>0</v>
      </c>
      <c r="J104" s="265">
        <f>($G48*N48)*VLOOKUP(N$9,Oppslag!$AT:$AV,2,FALSE)</f>
        <v>0</v>
      </c>
      <c r="K104" s="158">
        <f>($F48*P48)*VLOOKUP(P$9,Oppslag!$AT:$AV,2,FALSE)</f>
        <v>0</v>
      </c>
      <c r="L104" s="158">
        <f>($G48*P48)*VLOOKUP(P$9,Oppslag!$AT:$AV,2,FALSE)</f>
        <v>0</v>
      </c>
      <c r="M104" s="265">
        <f>($F48*R48)*VLOOKUP(R$9,Oppslag!$AT:$AV,2,FALSE)</f>
        <v>0</v>
      </c>
      <c r="N104" s="265">
        <f>($G48*R48)*VLOOKUP(R$9,Oppslag!$AT:$AV,2,FALSE)</f>
        <v>0</v>
      </c>
      <c r="O104" s="158">
        <f>($F48*T48)*VLOOKUP(T$9,Oppslag!$AT:$AV,2,FALSE)</f>
        <v>0</v>
      </c>
      <c r="P104" s="158">
        <f>($G48*T48)*VLOOKUP(T$9,Oppslag!$AT:$AV,2,FALSE)</f>
        <v>0</v>
      </c>
      <c r="Q104" s="265">
        <f>($F48*V48)*VLOOKUP(V$9,Oppslag!$AT:$AV,2,FALSE)</f>
        <v>0</v>
      </c>
      <c r="R104" s="265">
        <f>($G48*V48)*VLOOKUP(V$9,Oppslag!$AT:$AV,2,FALSE)</f>
        <v>0</v>
      </c>
      <c r="S104" s="158">
        <f>($F48*X48)*VLOOKUP(X$9,Oppslag!$AT:$AV,2,FALSE)</f>
        <v>0</v>
      </c>
      <c r="T104" s="158">
        <f>($G48*X48)*VLOOKUP(X$9,Oppslag!$AT:$AV,2,FALSE)</f>
        <v>0</v>
      </c>
      <c r="U104" s="265">
        <f>($F48*Z48)*VLOOKUP(Z$9,Oppslag!$AT:$AV,2,FALSE)</f>
        <v>0</v>
      </c>
      <c r="V104" s="265">
        <f>($G48*Z48)*VLOOKUP(Z$9,Oppslag!$AT:$AV,2,FALSE)</f>
        <v>0</v>
      </c>
      <c r="W104" s="158">
        <f>($F48*AB48)*VLOOKUP(AB$9,Oppslag!$AT:$AV,2,FALSE)</f>
        <v>0</v>
      </c>
      <c r="X104" s="158">
        <f>($G48*AB48)*VLOOKUP(AB$9,Oppslag!$AT:$AV,2,FALSE)</f>
        <v>0</v>
      </c>
      <c r="Y104" s="265">
        <f>($F48*AD48)*VLOOKUP(AD$9,Oppslag!$AT:$AV,2,FALSE)</f>
        <v>0</v>
      </c>
      <c r="Z104" s="265">
        <f>($G48*AD48)*VLOOKUP(AD$9,Oppslag!$AT:$AV,2,FALSE)</f>
        <v>0</v>
      </c>
      <c r="AA104" s="177">
        <f t="shared" si="44"/>
        <v>0</v>
      </c>
    </row>
    <row r="105" spans="2:27" hidden="1" outlineLevel="1" x14ac:dyDescent="0.25">
      <c r="B105" s="177">
        <f t="shared" si="43"/>
        <v>0</v>
      </c>
      <c r="C105" s="159">
        <f>($F49*H49)*VLOOKUP(H$9,Oppslag!$AT:$AV,2,FALSE)</f>
        <v>0</v>
      </c>
      <c r="D105" s="158">
        <f>($G49*H49)*VLOOKUP(H$9,Oppslag!$AT:$AV,2,FALSE)</f>
        <v>0</v>
      </c>
      <c r="E105" s="265">
        <f>($F49*J49)*VLOOKUP(J$9,Oppslag!$AT:$AV,2,FALSE)</f>
        <v>0</v>
      </c>
      <c r="F105" s="265">
        <f>($G49*J49)*VLOOKUP(J$9,Oppslag!$AT:$AV,2,FALSE)</f>
        <v>0</v>
      </c>
      <c r="G105" s="158">
        <f>($F49*L49)*VLOOKUP(L$9,Oppslag!$AT:$AV,2,FALSE)</f>
        <v>0</v>
      </c>
      <c r="H105" s="158">
        <f>($G49*L49)*VLOOKUP(L$9,Oppslag!$AT:$AV,2,FALSE)</f>
        <v>0</v>
      </c>
      <c r="I105" s="265">
        <f>($F49*N49)*VLOOKUP(N$9,Oppslag!$AT:$AV,2,FALSE)</f>
        <v>0</v>
      </c>
      <c r="J105" s="265">
        <f>($G49*N49)*VLOOKUP(N$9,Oppslag!$AT:$AV,2,FALSE)</f>
        <v>0</v>
      </c>
      <c r="K105" s="158">
        <f>($F49*P49)*VLOOKUP(P$9,Oppslag!$AT:$AV,2,FALSE)</f>
        <v>0</v>
      </c>
      <c r="L105" s="158">
        <f>($G49*P49)*VLOOKUP(P$9,Oppslag!$AT:$AV,2,FALSE)</f>
        <v>0</v>
      </c>
      <c r="M105" s="265">
        <f>($F49*R49)*VLOOKUP(R$9,Oppslag!$AT:$AV,2,FALSE)</f>
        <v>0</v>
      </c>
      <c r="N105" s="265">
        <f>($G49*R49)*VLOOKUP(R$9,Oppslag!$AT:$AV,2,FALSE)</f>
        <v>0</v>
      </c>
      <c r="O105" s="158">
        <f>($F49*T49)*VLOOKUP(T$9,Oppslag!$AT:$AV,2,FALSE)</f>
        <v>0</v>
      </c>
      <c r="P105" s="158">
        <f>($G49*T49)*VLOOKUP(T$9,Oppslag!$AT:$AV,2,FALSE)</f>
        <v>0</v>
      </c>
      <c r="Q105" s="265">
        <f>($F49*V49)*VLOOKUP(V$9,Oppslag!$AT:$AV,2,FALSE)</f>
        <v>0</v>
      </c>
      <c r="R105" s="265">
        <f>($G49*V49)*VLOOKUP(V$9,Oppslag!$AT:$AV,2,FALSE)</f>
        <v>0</v>
      </c>
      <c r="S105" s="158">
        <f>($F49*X49)*VLOOKUP(X$9,Oppslag!$AT:$AV,2,FALSE)</f>
        <v>0</v>
      </c>
      <c r="T105" s="158">
        <f>($G49*X49)*VLOOKUP(X$9,Oppslag!$AT:$AV,2,FALSE)</f>
        <v>0</v>
      </c>
      <c r="U105" s="265">
        <f>($F49*Z49)*VLOOKUP(Z$9,Oppslag!$AT:$AV,2,FALSE)</f>
        <v>0</v>
      </c>
      <c r="V105" s="265">
        <f>($G49*Z49)*VLOOKUP(Z$9,Oppslag!$AT:$AV,2,FALSE)</f>
        <v>0</v>
      </c>
      <c r="W105" s="158">
        <f>($F49*AB49)*VLOOKUP(AB$9,Oppslag!$AT:$AV,2,FALSE)</f>
        <v>0</v>
      </c>
      <c r="X105" s="158">
        <f>($G49*AB49)*VLOOKUP(AB$9,Oppslag!$AT:$AV,2,FALSE)</f>
        <v>0</v>
      </c>
      <c r="Y105" s="265">
        <f>($F49*AD49)*VLOOKUP(AD$9,Oppslag!$AT:$AV,2,FALSE)</f>
        <v>0</v>
      </c>
      <c r="Z105" s="265">
        <f>($G49*AD49)*VLOOKUP(AD$9,Oppslag!$AT:$AV,2,FALSE)</f>
        <v>0</v>
      </c>
      <c r="AA105" s="177">
        <f t="shared" si="44"/>
        <v>0</v>
      </c>
    </row>
    <row r="106" spans="2:27" hidden="1" outlineLevel="1" x14ac:dyDescent="0.25">
      <c r="B106" s="177">
        <f t="shared" si="43"/>
        <v>0</v>
      </c>
      <c r="C106" s="159">
        <f>($F50*H50)*VLOOKUP(H$9,Oppslag!$AT:$AV,2,FALSE)</f>
        <v>0</v>
      </c>
      <c r="D106" s="158">
        <f>($G50*H50)*VLOOKUP(H$9,Oppslag!$AT:$AV,2,FALSE)</f>
        <v>0</v>
      </c>
      <c r="E106" s="265">
        <f>($F50*J50)*VLOOKUP(J$9,Oppslag!$AT:$AV,2,FALSE)</f>
        <v>0</v>
      </c>
      <c r="F106" s="265">
        <f>($G50*J50)*VLOOKUP(J$9,Oppslag!$AT:$AV,2,FALSE)</f>
        <v>0</v>
      </c>
      <c r="G106" s="158">
        <f>($F50*L50)*VLOOKUP(L$9,Oppslag!$AT:$AV,2,FALSE)</f>
        <v>0</v>
      </c>
      <c r="H106" s="158">
        <f>($G50*L50)*VLOOKUP(L$9,Oppslag!$AT:$AV,2,FALSE)</f>
        <v>0</v>
      </c>
      <c r="I106" s="265">
        <f>($F50*N50)*VLOOKUP(N$9,Oppslag!$AT:$AV,2,FALSE)</f>
        <v>0</v>
      </c>
      <c r="J106" s="265">
        <f>($G50*N50)*VLOOKUP(N$9,Oppslag!$AT:$AV,2,FALSE)</f>
        <v>0</v>
      </c>
      <c r="K106" s="158">
        <f>($F50*P50)*VLOOKUP(P$9,Oppslag!$AT:$AV,2,FALSE)</f>
        <v>0</v>
      </c>
      <c r="L106" s="158">
        <f>($G50*P50)*VLOOKUP(P$9,Oppslag!$AT:$AV,2,FALSE)</f>
        <v>0</v>
      </c>
      <c r="M106" s="265">
        <f>($F50*R50)*VLOOKUP(R$9,Oppslag!$AT:$AV,2,FALSE)</f>
        <v>0</v>
      </c>
      <c r="N106" s="265">
        <f>($G50*R50)*VLOOKUP(R$9,Oppslag!$AT:$AV,2,FALSE)</f>
        <v>0</v>
      </c>
      <c r="O106" s="158">
        <f>($F50*T50)*VLOOKUP(T$9,Oppslag!$AT:$AV,2,FALSE)</f>
        <v>0</v>
      </c>
      <c r="P106" s="158">
        <f>($G50*T50)*VLOOKUP(T$9,Oppslag!$AT:$AV,2,FALSE)</f>
        <v>0</v>
      </c>
      <c r="Q106" s="265">
        <f>($F50*V50)*VLOOKUP(V$9,Oppslag!$AT:$AV,2,FALSE)</f>
        <v>0</v>
      </c>
      <c r="R106" s="265">
        <f>($G50*V50)*VLOOKUP(V$9,Oppslag!$AT:$AV,2,FALSE)</f>
        <v>0</v>
      </c>
      <c r="S106" s="158">
        <f>($F50*X50)*VLOOKUP(X$9,Oppslag!$AT:$AV,2,FALSE)</f>
        <v>0</v>
      </c>
      <c r="T106" s="158">
        <f>($G50*X50)*VLOOKUP(X$9,Oppslag!$AT:$AV,2,FALSE)</f>
        <v>0</v>
      </c>
      <c r="U106" s="265">
        <f>($F50*Z50)*VLOOKUP(Z$9,Oppslag!$AT:$AV,2,FALSE)</f>
        <v>0</v>
      </c>
      <c r="V106" s="265">
        <f>($G50*Z50)*VLOOKUP(Z$9,Oppslag!$AT:$AV,2,FALSE)</f>
        <v>0</v>
      </c>
      <c r="W106" s="158">
        <f>($F50*AB50)*VLOOKUP(AB$9,Oppslag!$AT:$AV,2,FALSE)</f>
        <v>0</v>
      </c>
      <c r="X106" s="158">
        <f>($G50*AB50)*VLOOKUP(AB$9,Oppslag!$AT:$AV,2,FALSE)</f>
        <v>0</v>
      </c>
      <c r="Y106" s="265">
        <f>($F50*AD50)*VLOOKUP(AD$9,Oppslag!$AT:$AV,2,FALSE)</f>
        <v>0</v>
      </c>
      <c r="Z106" s="265">
        <f>($G50*AD50)*VLOOKUP(AD$9,Oppslag!$AT:$AV,2,FALSE)</f>
        <v>0</v>
      </c>
      <c r="AA106" s="177">
        <f t="shared" si="44"/>
        <v>0</v>
      </c>
    </row>
    <row r="107" spans="2:27" hidden="1" outlineLevel="1" x14ac:dyDescent="0.25"/>
    <row r="108" spans="2:27" hidden="1" outlineLevel="1" x14ac:dyDescent="0.25"/>
    <row r="109" spans="2:27" collapsed="1" x14ac:dyDescent="0.25"/>
  </sheetData>
  <dataConsolidate/>
  <mergeCells count="26">
    <mergeCell ref="A56:P56"/>
    <mergeCell ref="H9:I9"/>
    <mergeCell ref="W65:X65"/>
    <mergeCell ref="Y65:Z65"/>
    <mergeCell ref="C65:D65"/>
    <mergeCell ref="E65:F65"/>
    <mergeCell ref="G65:H65"/>
    <mergeCell ref="I65:J65"/>
    <mergeCell ref="K65:L65"/>
    <mergeCell ref="J9:K9"/>
    <mergeCell ref="L9:M9"/>
    <mergeCell ref="N9:O9"/>
    <mergeCell ref="P9:Q9"/>
    <mergeCell ref="M65:N65"/>
    <mergeCell ref="X9:Y9"/>
    <mergeCell ref="O65:P65"/>
    <mergeCell ref="Q65:R65"/>
    <mergeCell ref="AB9:AC9"/>
    <mergeCell ref="AD9:AE9"/>
    <mergeCell ref="S65:T65"/>
    <mergeCell ref="U65:V65"/>
    <mergeCell ref="AF9:AG9"/>
    <mergeCell ref="Z9:AA9"/>
    <mergeCell ref="R9:S9"/>
    <mergeCell ref="T9:U9"/>
    <mergeCell ref="V9:W9"/>
  </mergeCells>
  <dataValidations count="2">
    <dataValidation type="list" allowBlank="1" showInputMessage="1" showErrorMessage="1" sqref="C11:C50">
      <formula1>Stilling</formula1>
    </dataValidation>
    <dataValidation type="list" allowBlank="1" showInputMessage="1" showErrorMessage="1" sqref="E11:E50">
      <formula1>Priskategori</formula1>
    </dataValidation>
  </dataValidations>
  <pageMargins left="0.7" right="0.7" top="0.75" bottom="0.75" header="0.3" footer="0.3"/>
  <pageSetup paperSize="9" orientation="portrait" r:id="rId1"/>
  <ignoredErrors>
    <ignoredError sqref="D11:D18 H11:H12" unlockedFormula="1"/>
    <ignoredError sqref="I11 K11:K13 M11:M13 O11:O13" formula="1"/>
    <ignoredError sqref="J11:J12 L11:L12 N11:N12 P12:P13 J13 L13 N13 P11" formula="1" unlockedFormula="1"/>
  </ignoredErrors>
  <legacyDrawing r:id="rId2"/>
  <extLst>
    <ext xmlns:x14="http://schemas.microsoft.com/office/spreadsheetml/2009/9/main" uri="{CCE6A557-97BC-4b89-ADB6-D9C93CAAB3DF}">
      <x14:dataValidations xmlns:xm="http://schemas.microsoft.com/office/excel/2006/main" count="1">
        <x14:dataValidation type="whole" operator="lessThanOrEqual" allowBlank="1" showInputMessage="1" showErrorMessage="1" error="Nummeret må være &lt;= antallet hovedaktiviteter registrert på 1.Prosjektinfo">
          <x14:formula1>
            <xm:f>'1. Prosjektinfo'!$B$9</xm:f>
          </x14:formula1>
          <xm:sqref>B11:B50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workbookViewId="0">
      <selection activeCell="S23" sqref="S23"/>
    </sheetView>
  </sheetViews>
  <sheetFormatPr baseColWidth="10" defaultColWidth="11.42578125" defaultRowHeight="15" outlineLevelRow="1" outlineLevelCol="1" x14ac:dyDescent="0.25"/>
  <cols>
    <col min="1" max="1" width="23.7109375" bestFit="1" customWidth="1"/>
    <col min="2" max="2" width="10" customWidth="1"/>
    <col min="3" max="3" width="29.7109375" customWidth="1"/>
    <col min="4" max="4" width="16.28515625" customWidth="1"/>
    <col min="9" max="9" width="11.42578125" customWidth="1"/>
    <col min="10" max="15" width="11.42578125" hidden="1" customWidth="1" outlineLevel="1"/>
    <col min="16" max="16" width="11.42578125" collapsed="1"/>
    <col min="18" max="31" width="15.7109375" customWidth="1"/>
  </cols>
  <sheetData>
    <row r="1" spans="1:32" ht="23.25" x14ac:dyDescent="0.35">
      <c r="A1" s="101" t="s">
        <v>171</v>
      </c>
      <c r="B1" s="101"/>
      <c r="C1" s="102"/>
      <c r="D1" s="101" t="str">
        <f>'1. Prosjektinfo'!B4</f>
        <v>Navn på prosjekt</v>
      </c>
      <c r="E1" s="102"/>
      <c r="F1" s="59" t="s">
        <v>174</v>
      </c>
      <c r="G1" s="59"/>
    </row>
    <row r="2" spans="1:32" ht="21" x14ac:dyDescent="0.35">
      <c r="A2" s="103" t="s">
        <v>170</v>
      </c>
      <c r="B2" s="103"/>
      <c r="C2" s="103"/>
      <c r="D2" s="103" t="str">
        <f>'1. Prosjektinfo'!B5</f>
        <v>Anne Ås</v>
      </c>
      <c r="E2" s="102"/>
    </row>
    <row r="3" spans="1:32" ht="21" x14ac:dyDescent="0.35">
      <c r="A3" s="103" t="s">
        <v>118</v>
      </c>
      <c r="B3" s="103"/>
      <c r="C3" s="103"/>
      <c r="D3" s="104">
        <f>'1. Prosjektinfo'!B6</f>
        <v>43466</v>
      </c>
      <c r="E3" s="102"/>
    </row>
    <row r="4" spans="1:32" ht="21" x14ac:dyDescent="0.35">
      <c r="A4" s="103" t="s">
        <v>119</v>
      </c>
      <c r="B4" s="103"/>
      <c r="C4" s="103"/>
      <c r="D4" s="104">
        <f>'1. Prosjektinfo'!B7</f>
        <v>45291</v>
      </c>
      <c r="E4" s="102"/>
    </row>
    <row r="5" spans="1:32" ht="21" x14ac:dyDescent="0.35">
      <c r="A5" s="103" t="s">
        <v>166</v>
      </c>
      <c r="B5" s="103"/>
      <c r="C5" s="103"/>
      <c r="D5" s="103" t="str">
        <f>'1. Prosjektinfo'!B8</f>
        <v>Bidrag</v>
      </c>
      <c r="E5" s="102"/>
    </row>
    <row r="6" spans="1:32" ht="21" x14ac:dyDescent="0.35">
      <c r="A6" s="103" t="s">
        <v>167</v>
      </c>
      <c r="B6" s="103"/>
      <c r="C6" s="103"/>
      <c r="D6" s="103" t="str">
        <f>'1. Prosjektinfo'!B10</f>
        <v>Norges Forskningsråd</v>
      </c>
      <c r="E6" s="102"/>
      <c r="R6" s="301"/>
      <c r="S6" s="301"/>
      <c r="T6" s="301"/>
      <c r="U6" s="301"/>
      <c r="V6" s="301"/>
      <c r="W6" s="301"/>
      <c r="X6" s="301"/>
      <c r="Y6" s="301"/>
      <c r="Z6" s="301"/>
      <c r="AA6" s="301"/>
      <c r="AB6" s="301"/>
      <c r="AC6" s="301"/>
      <c r="AD6" s="301"/>
      <c r="AE6" s="301"/>
      <c r="AF6" s="301"/>
    </row>
    <row r="7" spans="1:32" x14ac:dyDescent="0.25">
      <c r="R7" s="336"/>
      <c r="S7" s="336"/>
      <c r="T7" s="336"/>
      <c r="U7" s="336"/>
      <c r="V7" s="336"/>
      <c r="W7" s="336"/>
      <c r="X7" s="336"/>
      <c r="Y7" s="303"/>
      <c r="Z7" s="336"/>
      <c r="AA7" s="336"/>
      <c r="AB7" s="336"/>
      <c r="AC7" s="336"/>
      <c r="AD7" s="336"/>
      <c r="AE7" s="301"/>
      <c r="AF7" s="301"/>
    </row>
    <row r="8" spans="1:32" x14ac:dyDescent="0.25">
      <c r="R8" s="301"/>
      <c r="S8" s="301"/>
      <c r="T8" s="301"/>
      <c r="U8" s="301"/>
      <c r="V8" s="301"/>
      <c r="W8" s="301"/>
      <c r="X8" s="301"/>
      <c r="Y8" s="301"/>
      <c r="Z8" s="301"/>
      <c r="AA8" s="301"/>
      <c r="AB8" s="301"/>
      <c r="AC8" s="301"/>
      <c r="AD8" s="301"/>
      <c r="AE8" s="301"/>
      <c r="AF8" s="301"/>
    </row>
    <row r="9" spans="1:32" ht="30" x14ac:dyDescent="0.25">
      <c r="A9" s="19" t="s">
        <v>156</v>
      </c>
      <c r="B9" s="19" t="s">
        <v>505</v>
      </c>
      <c r="C9" s="19" t="s">
        <v>157</v>
      </c>
      <c r="D9" s="160">
        <f>YEAR('1. Prosjektinfo'!B6)</f>
        <v>2019</v>
      </c>
      <c r="E9" s="160">
        <f>D9+1</f>
        <v>2020</v>
      </c>
      <c r="F9" s="160">
        <f t="shared" ref="F9:L9" si="0">E9+1</f>
        <v>2021</v>
      </c>
      <c r="G9" s="160">
        <f t="shared" si="0"/>
        <v>2022</v>
      </c>
      <c r="H9" s="160">
        <f t="shared" si="0"/>
        <v>2023</v>
      </c>
      <c r="I9" s="160">
        <f t="shared" si="0"/>
        <v>2024</v>
      </c>
      <c r="J9" s="160">
        <f t="shared" si="0"/>
        <v>2025</v>
      </c>
      <c r="K9" s="160">
        <f>J9+1</f>
        <v>2026</v>
      </c>
      <c r="L9" s="160">
        <f t="shared" si="0"/>
        <v>2027</v>
      </c>
      <c r="M9" s="160">
        <f>L9+1</f>
        <v>2028</v>
      </c>
      <c r="N9" s="160">
        <f t="shared" ref="N9:O9" si="1">M9+1</f>
        <v>2029</v>
      </c>
      <c r="O9" s="160">
        <f t="shared" si="1"/>
        <v>2030</v>
      </c>
      <c r="P9" s="19" t="s">
        <v>79</v>
      </c>
      <c r="R9" s="304"/>
      <c r="S9" s="304"/>
      <c r="T9" s="304"/>
      <c r="U9" s="304"/>
      <c r="V9" s="304"/>
      <c r="W9" s="304"/>
      <c r="X9" s="304"/>
      <c r="Y9" s="304"/>
      <c r="Z9" s="304"/>
      <c r="AA9" s="304"/>
      <c r="AB9" s="304"/>
      <c r="AC9" s="304"/>
      <c r="AD9" s="304"/>
      <c r="AE9" s="304"/>
      <c r="AF9" s="301"/>
    </row>
    <row r="10" spans="1:32" x14ac:dyDescent="0.25">
      <c r="A10" s="20" t="s">
        <v>154</v>
      </c>
      <c r="B10" s="20">
        <v>2</v>
      </c>
      <c r="C10" s="20" t="s">
        <v>527</v>
      </c>
      <c r="D10" s="31">
        <v>115000</v>
      </c>
      <c r="E10" s="31">
        <v>117874.99999999999</v>
      </c>
      <c r="F10" s="31">
        <v>120821.87499999997</v>
      </c>
      <c r="G10" s="31">
        <v>123842.42187499996</v>
      </c>
      <c r="H10" s="31">
        <v>126938.48242187494</v>
      </c>
      <c r="I10" s="31"/>
      <c r="J10" s="31"/>
      <c r="K10" s="31"/>
      <c r="L10" s="31"/>
      <c r="M10" s="31"/>
      <c r="N10" s="31"/>
      <c r="O10" s="31"/>
      <c r="P10" s="161">
        <f t="shared" ref="P10:P61" si="2">SUM(D10:O10)</f>
        <v>604477.77929687488</v>
      </c>
      <c r="R10" s="302"/>
      <c r="S10" s="302"/>
      <c r="T10" s="301"/>
      <c r="U10" s="302"/>
      <c r="V10" s="302"/>
      <c r="W10" s="301"/>
      <c r="X10" s="301"/>
      <c r="Y10" s="301"/>
      <c r="Z10" s="301"/>
      <c r="AA10" s="301"/>
      <c r="AB10" s="301"/>
      <c r="AC10" s="301"/>
      <c r="AD10" s="301"/>
      <c r="AE10" s="305"/>
      <c r="AF10" s="301"/>
    </row>
    <row r="11" spans="1:32" x14ac:dyDescent="0.25">
      <c r="A11" s="20" t="s">
        <v>153</v>
      </c>
      <c r="B11" s="20">
        <v>2</v>
      </c>
      <c r="C11" s="20" t="s">
        <v>528</v>
      </c>
      <c r="D11" s="31">
        <v>50000</v>
      </c>
      <c r="E11" s="31">
        <v>51249.999999999993</v>
      </c>
      <c r="F11" s="31">
        <v>52531.249999999985</v>
      </c>
      <c r="G11" s="31">
        <v>53844.531249999978</v>
      </c>
      <c r="H11" s="31">
        <v>55190.644531249971</v>
      </c>
      <c r="I11" s="31"/>
      <c r="J11" s="31"/>
      <c r="K11" s="31"/>
      <c r="L11" s="31"/>
      <c r="M11" s="31"/>
      <c r="N11" s="31"/>
      <c r="O11" s="31"/>
      <c r="P11" s="161">
        <f t="shared" si="2"/>
        <v>262816.42578124994</v>
      </c>
      <c r="R11" s="301"/>
      <c r="S11" s="301"/>
      <c r="T11" s="301"/>
      <c r="U11" s="301"/>
      <c r="V11" s="301"/>
      <c r="W11" s="301"/>
      <c r="X11" s="301"/>
      <c r="Y11" s="302"/>
      <c r="Z11" s="301"/>
      <c r="AA11" s="301"/>
      <c r="AB11" s="301"/>
      <c r="AC11" s="301"/>
      <c r="AD11" s="301"/>
      <c r="AE11" s="305"/>
      <c r="AF11" s="301"/>
    </row>
    <row r="12" spans="1:32" x14ac:dyDescent="0.25">
      <c r="A12" s="20" t="s">
        <v>181</v>
      </c>
      <c r="B12" s="20">
        <v>2</v>
      </c>
      <c r="C12" s="20" t="s">
        <v>529</v>
      </c>
      <c r="D12" s="31">
        <v>50000</v>
      </c>
      <c r="E12" s="31">
        <v>51249.999999999993</v>
      </c>
      <c r="F12" s="31">
        <v>52531.249999999985</v>
      </c>
      <c r="G12" s="31">
        <v>53844.531249999978</v>
      </c>
      <c r="H12" s="31">
        <v>55190.644531249971</v>
      </c>
      <c r="I12" s="31"/>
      <c r="J12" s="31"/>
      <c r="K12" s="31"/>
      <c r="L12" s="31"/>
      <c r="M12" s="31"/>
      <c r="N12" s="31"/>
      <c r="O12" s="31"/>
      <c r="P12" s="161">
        <f t="shared" si="2"/>
        <v>262816.42578124994</v>
      </c>
      <c r="R12" s="301"/>
      <c r="S12" s="301"/>
      <c r="T12" s="301"/>
      <c r="U12" s="301"/>
      <c r="V12" s="301"/>
      <c r="W12" s="301"/>
      <c r="X12" s="301"/>
      <c r="Y12" s="301"/>
      <c r="Z12" s="302"/>
      <c r="AA12" s="301"/>
      <c r="AB12" s="301"/>
      <c r="AC12" s="301"/>
      <c r="AD12" s="301"/>
      <c r="AE12" s="305"/>
      <c r="AF12" s="301"/>
    </row>
    <row r="13" spans="1:32" x14ac:dyDescent="0.25">
      <c r="A13" s="20" t="s">
        <v>181</v>
      </c>
      <c r="B13" s="20">
        <v>2</v>
      </c>
      <c r="C13" s="20" t="s">
        <v>530</v>
      </c>
      <c r="D13" s="31">
        <v>180000</v>
      </c>
      <c r="E13" s="31">
        <v>184499.99999999997</v>
      </c>
      <c r="F13" s="31">
        <v>189112.49999999994</v>
      </c>
      <c r="G13" s="31">
        <v>193840.31249999991</v>
      </c>
      <c r="H13" s="31"/>
      <c r="I13" s="31"/>
      <c r="J13" s="31"/>
      <c r="K13" s="31"/>
      <c r="L13" s="31"/>
      <c r="M13" s="31"/>
      <c r="N13" s="31"/>
      <c r="O13" s="31"/>
      <c r="P13" s="161">
        <f t="shared" si="2"/>
        <v>747452.81249999988</v>
      </c>
      <c r="R13" s="301"/>
      <c r="S13" s="301"/>
      <c r="T13" s="301"/>
      <c r="U13" s="301"/>
      <c r="V13" s="301"/>
      <c r="W13" s="301"/>
      <c r="X13" s="301"/>
      <c r="Y13" s="301"/>
      <c r="Z13" s="301"/>
      <c r="AA13" s="302"/>
      <c r="AB13" s="301"/>
      <c r="AC13" s="301"/>
      <c r="AD13" s="301"/>
      <c r="AE13" s="305"/>
      <c r="AF13" s="301"/>
    </row>
    <row r="14" spans="1:32" x14ac:dyDescent="0.25">
      <c r="A14" s="20" t="s">
        <v>152</v>
      </c>
      <c r="B14" s="20">
        <v>2</v>
      </c>
      <c r="C14" s="20" t="s">
        <v>531</v>
      </c>
      <c r="D14" s="31">
        <v>50000</v>
      </c>
      <c r="E14" s="31"/>
      <c r="F14" s="31"/>
      <c r="G14" s="31"/>
      <c r="H14" s="31"/>
      <c r="I14" s="31"/>
      <c r="J14" s="31"/>
      <c r="K14" s="31"/>
      <c r="L14" s="31"/>
      <c r="M14" s="31"/>
      <c r="N14" s="31"/>
      <c r="O14" s="31"/>
      <c r="P14" s="161">
        <f t="shared" si="2"/>
        <v>50000</v>
      </c>
      <c r="R14" s="301"/>
      <c r="S14" s="301"/>
      <c r="T14" s="301"/>
      <c r="U14" s="301"/>
      <c r="V14" s="301"/>
      <c r="W14" s="301"/>
      <c r="X14" s="301"/>
      <c r="Y14" s="301"/>
      <c r="Z14" s="301"/>
      <c r="AA14" s="301"/>
      <c r="AB14" s="301"/>
      <c r="AC14" s="302"/>
      <c r="AD14" s="301"/>
      <c r="AE14" s="305"/>
      <c r="AF14" s="301"/>
    </row>
    <row r="15" spans="1:32" x14ac:dyDescent="0.25">
      <c r="A15" s="20" t="s">
        <v>152</v>
      </c>
      <c r="B15" s="20">
        <v>2</v>
      </c>
      <c r="C15" s="20" t="s">
        <v>532</v>
      </c>
      <c r="D15" s="31">
        <v>15000</v>
      </c>
      <c r="E15" s="31">
        <v>15000</v>
      </c>
      <c r="F15" s="31">
        <v>15000</v>
      </c>
      <c r="G15" s="31">
        <v>15000</v>
      </c>
      <c r="H15" s="31">
        <v>15000</v>
      </c>
      <c r="I15" s="31"/>
      <c r="J15" s="31"/>
      <c r="K15" s="31"/>
      <c r="L15" s="31"/>
      <c r="M15" s="31"/>
      <c r="N15" s="31"/>
      <c r="O15" s="31"/>
      <c r="P15" s="161">
        <f t="shared" si="2"/>
        <v>75000</v>
      </c>
      <c r="R15" s="301"/>
      <c r="S15" s="301"/>
      <c r="T15" s="301"/>
      <c r="U15" s="301"/>
      <c r="V15" s="301"/>
      <c r="W15" s="301"/>
      <c r="X15" s="301"/>
      <c r="Y15" s="301"/>
      <c r="Z15" s="301"/>
      <c r="AA15" s="301"/>
      <c r="AB15" s="301"/>
      <c r="AC15" s="302"/>
      <c r="AD15" s="306"/>
      <c r="AE15" s="301"/>
      <c r="AF15" s="301"/>
    </row>
    <row r="16" spans="1:32" x14ac:dyDescent="0.25">
      <c r="A16" s="20"/>
      <c r="B16" s="20"/>
      <c r="C16" s="20"/>
      <c r="D16" s="31"/>
      <c r="E16" s="31"/>
      <c r="F16" s="31"/>
      <c r="G16" s="31"/>
      <c r="H16" s="31"/>
      <c r="I16" s="31"/>
      <c r="J16" s="31"/>
      <c r="K16" s="31"/>
      <c r="L16" s="31"/>
      <c r="M16" s="31"/>
      <c r="N16" s="31"/>
      <c r="O16" s="31"/>
      <c r="P16" s="161">
        <f t="shared" si="2"/>
        <v>0</v>
      </c>
      <c r="R16" s="301"/>
      <c r="S16" s="301"/>
      <c r="T16" s="301"/>
      <c r="U16" s="301"/>
      <c r="V16" s="301"/>
      <c r="W16" s="301"/>
      <c r="X16" s="301"/>
      <c r="Y16" s="301"/>
      <c r="Z16" s="301"/>
      <c r="AA16" s="301"/>
      <c r="AB16" s="301"/>
      <c r="AC16" s="301"/>
      <c r="AD16" s="301"/>
      <c r="AE16" s="301"/>
      <c r="AF16" s="301"/>
    </row>
    <row r="17" spans="1:32" x14ac:dyDescent="0.25">
      <c r="A17" s="20"/>
      <c r="B17" s="20"/>
      <c r="C17" s="20"/>
      <c r="D17" s="31"/>
      <c r="E17" s="31"/>
      <c r="F17" s="31"/>
      <c r="G17" s="31"/>
      <c r="H17" s="31"/>
      <c r="I17" s="31"/>
      <c r="J17" s="31"/>
      <c r="K17" s="31"/>
      <c r="L17" s="31"/>
      <c r="M17" s="31"/>
      <c r="N17" s="31"/>
      <c r="O17" s="31"/>
      <c r="P17" s="161">
        <f t="shared" si="2"/>
        <v>0</v>
      </c>
      <c r="R17" s="301"/>
      <c r="S17" s="301"/>
      <c r="T17" s="301"/>
      <c r="U17" s="301"/>
      <c r="V17" s="301"/>
      <c r="W17" s="301"/>
      <c r="X17" s="301"/>
      <c r="Y17" s="301"/>
      <c r="Z17" s="301"/>
      <c r="AA17" s="301"/>
      <c r="AB17" s="301"/>
      <c r="AC17" s="301"/>
      <c r="AD17" s="301"/>
      <c r="AE17" s="301"/>
      <c r="AF17" s="301"/>
    </row>
    <row r="18" spans="1:32" x14ac:dyDescent="0.25">
      <c r="A18" s="20"/>
      <c r="B18" s="20"/>
      <c r="C18" s="20"/>
      <c r="D18" s="31"/>
      <c r="E18" s="31"/>
      <c r="F18" s="31"/>
      <c r="G18" s="31"/>
      <c r="H18" s="31"/>
      <c r="I18" s="31"/>
      <c r="J18" s="31"/>
      <c r="K18" s="31"/>
      <c r="L18" s="31"/>
      <c r="M18" s="31"/>
      <c r="N18" s="31"/>
      <c r="O18" s="31"/>
      <c r="P18" s="161">
        <f t="shared" si="2"/>
        <v>0</v>
      </c>
    </row>
    <row r="19" spans="1:32" x14ac:dyDescent="0.25">
      <c r="A19" s="20"/>
      <c r="B19" s="20"/>
      <c r="C19" s="20"/>
      <c r="D19" s="31"/>
      <c r="E19" s="31"/>
      <c r="F19" s="31"/>
      <c r="G19" s="31"/>
      <c r="H19" s="31"/>
      <c r="I19" s="31"/>
      <c r="J19" s="31"/>
      <c r="K19" s="31"/>
      <c r="L19" s="31"/>
      <c r="M19" s="31"/>
      <c r="N19" s="31"/>
      <c r="O19" s="31"/>
      <c r="P19" s="161">
        <f t="shared" si="2"/>
        <v>0</v>
      </c>
    </row>
    <row r="20" spans="1:32" x14ac:dyDescent="0.25">
      <c r="A20" s="20"/>
      <c r="B20" s="20"/>
      <c r="C20" s="20"/>
      <c r="D20" s="31"/>
      <c r="E20" s="31"/>
      <c r="F20" s="31"/>
      <c r="G20" s="31"/>
      <c r="H20" s="31"/>
      <c r="I20" s="31"/>
      <c r="J20" s="31"/>
      <c r="K20" s="31"/>
      <c r="L20" s="31"/>
      <c r="M20" s="31"/>
      <c r="N20" s="31"/>
      <c r="O20" s="31"/>
      <c r="P20" s="161">
        <f t="shared" si="2"/>
        <v>0</v>
      </c>
    </row>
    <row r="21" spans="1:32" x14ac:dyDescent="0.25">
      <c r="A21" s="20"/>
      <c r="B21" s="20"/>
      <c r="C21" s="20"/>
      <c r="D21" s="31"/>
      <c r="E21" s="31"/>
      <c r="F21" s="31"/>
      <c r="G21" s="31"/>
      <c r="H21" s="31"/>
      <c r="I21" s="31"/>
      <c r="J21" s="31"/>
      <c r="K21" s="31"/>
      <c r="L21" s="31"/>
      <c r="M21" s="31"/>
      <c r="N21" s="31"/>
      <c r="O21" s="31"/>
      <c r="P21" s="161">
        <f t="shared" si="2"/>
        <v>0</v>
      </c>
    </row>
    <row r="22" spans="1:32" x14ac:dyDescent="0.25">
      <c r="A22" s="20"/>
      <c r="B22" s="20"/>
      <c r="C22" s="20"/>
      <c r="D22" s="31"/>
      <c r="E22" s="31"/>
      <c r="F22" s="31"/>
      <c r="G22" s="31"/>
      <c r="H22" s="31"/>
      <c r="I22" s="31"/>
      <c r="J22" s="31"/>
      <c r="K22" s="31"/>
      <c r="L22" s="31"/>
      <c r="M22" s="31"/>
      <c r="N22" s="31"/>
      <c r="O22" s="31"/>
      <c r="P22" s="161">
        <f t="shared" si="2"/>
        <v>0</v>
      </c>
    </row>
    <row r="23" spans="1:32" x14ac:dyDescent="0.25">
      <c r="A23" s="20"/>
      <c r="B23" s="20"/>
      <c r="C23" s="20"/>
      <c r="D23" s="31"/>
      <c r="E23" s="31"/>
      <c r="F23" s="31"/>
      <c r="G23" s="31"/>
      <c r="H23" s="31"/>
      <c r="I23" s="31"/>
      <c r="J23" s="31"/>
      <c r="K23" s="31"/>
      <c r="L23" s="31"/>
      <c r="M23" s="31"/>
      <c r="N23" s="31"/>
      <c r="O23" s="31"/>
      <c r="P23" s="161">
        <f t="shared" si="2"/>
        <v>0</v>
      </c>
    </row>
    <row r="24" spans="1:32" x14ac:dyDescent="0.25">
      <c r="A24" s="20"/>
      <c r="B24" s="20"/>
      <c r="C24" s="20"/>
      <c r="D24" s="31"/>
      <c r="E24" s="31"/>
      <c r="F24" s="31"/>
      <c r="G24" s="31"/>
      <c r="H24" s="31"/>
      <c r="I24" s="31"/>
      <c r="J24" s="31"/>
      <c r="K24" s="31"/>
      <c r="L24" s="31"/>
      <c r="M24" s="31"/>
      <c r="N24" s="31"/>
      <c r="O24" s="31"/>
      <c r="P24" s="161">
        <f t="shared" si="2"/>
        <v>0</v>
      </c>
    </row>
    <row r="25" spans="1:32" x14ac:dyDescent="0.25">
      <c r="A25" s="20"/>
      <c r="B25" s="20"/>
      <c r="C25" s="20"/>
      <c r="D25" s="31"/>
      <c r="E25" s="31"/>
      <c r="F25" s="31"/>
      <c r="G25" s="31"/>
      <c r="H25" s="31"/>
      <c r="I25" s="31"/>
      <c r="J25" s="31"/>
      <c r="K25" s="31"/>
      <c r="L25" s="31"/>
      <c r="M25" s="31"/>
      <c r="N25" s="31"/>
      <c r="O25" s="31"/>
      <c r="P25" s="161">
        <f t="shared" si="2"/>
        <v>0</v>
      </c>
    </row>
    <row r="26" spans="1:32" hidden="1" outlineLevel="1" x14ac:dyDescent="0.25">
      <c r="A26" s="20"/>
      <c r="B26" s="20"/>
      <c r="C26" s="20"/>
      <c r="D26" s="31"/>
      <c r="E26" s="31"/>
      <c r="F26" s="31"/>
      <c r="G26" s="31"/>
      <c r="H26" s="31"/>
      <c r="I26" s="31"/>
      <c r="J26" s="31"/>
      <c r="K26" s="31"/>
      <c r="L26" s="31"/>
      <c r="M26" s="31"/>
      <c r="N26" s="31"/>
      <c r="O26" s="31"/>
      <c r="P26" s="161">
        <f t="shared" si="2"/>
        <v>0</v>
      </c>
    </row>
    <row r="27" spans="1:32" hidden="1" outlineLevel="1" x14ac:dyDescent="0.25">
      <c r="A27" s="20"/>
      <c r="B27" s="20"/>
      <c r="C27" s="20"/>
      <c r="D27" s="31"/>
      <c r="E27" s="31"/>
      <c r="F27" s="31"/>
      <c r="G27" s="31"/>
      <c r="H27" s="31"/>
      <c r="I27" s="31"/>
      <c r="J27" s="31"/>
      <c r="K27" s="31"/>
      <c r="L27" s="31"/>
      <c r="M27" s="31"/>
      <c r="N27" s="31"/>
      <c r="O27" s="31"/>
      <c r="P27" s="161">
        <f t="shared" si="2"/>
        <v>0</v>
      </c>
    </row>
    <row r="28" spans="1:32" hidden="1" outlineLevel="1" x14ac:dyDescent="0.25">
      <c r="A28" s="20"/>
      <c r="B28" s="20"/>
      <c r="C28" s="20"/>
      <c r="D28" s="31"/>
      <c r="E28" s="31"/>
      <c r="F28" s="31"/>
      <c r="G28" s="31"/>
      <c r="H28" s="31"/>
      <c r="I28" s="31"/>
      <c r="J28" s="31"/>
      <c r="K28" s="31"/>
      <c r="L28" s="31"/>
      <c r="M28" s="31"/>
      <c r="N28" s="31"/>
      <c r="O28" s="31"/>
      <c r="P28" s="161">
        <f t="shared" si="2"/>
        <v>0</v>
      </c>
    </row>
    <row r="29" spans="1:32" hidden="1" outlineLevel="1" x14ac:dyDescent="0.25">
      <c r="A29" s="20"/>
      <c r="B29" s="20"/>
      <c r="C29" s="20"/>
      <c r="D29" s="31"/>
      <c r="E29" s="31"/>
      <c r="F29" s="31"/>
      <c r="G29" s="31"/>
      <c r="H29" s="31"/>
      <c r="I29" s="31"/>
      <c r="J29" s="31"/>
      <c r="K29" s="31"/>
      <c r="L29" s="31"/>
      <c r="M29" s="31"/>
      <c r="N29" s="31"/>
      <c r="O29" s="31"/>
      <c r="P29" s="161">
        <f t="shared" si="2"/>
        <v>0</v>
      </c>
    </row>
    <row r="30" spans="1:32" hidden="1" outlineLevel="1" x14ac:dyDescent="0.25">
      <c r="A30" s="20"/>
      <c r="B30" s="20"/>
      <c r="C30" s="20"/>
      <c r="D30" s="31"/>
      <c r="E30" s="31"/>
      <c r="F30" s="31"/>
      <c r="G30" s="31"/>
      <c r="H30" s="31"/>
      <c r="I30" s="31"/>
      <c r="J30" s="31"/>
      <c r="K30" s="31"/>
      <c r="L30" s="31"/>
      <c r="M30" s="31"/>
      <c r="N30" s="31"/>
      <c r="O30" s="31"/>
      <c r="P30" s="161">
        <f t="shared" si="2"/>
        <v>0</v>
      </c>
    </row>
    <row r="31" spans="1:32" hidden="1" outlineLevel="1" x14ac:dyDescent="0.25">
      <c r="A31" s="20"/>
      <c r="B31" s="20"/>
      <c r="C31" s="20"/>
      <c r="D31" s="31"/>
      <c r="E31" s="31"/>
      <c r="F31" s="31"/>
      <c r="G31" s="31"/>
      <c r="H31" s="31"/>
      <c r="I31" s="31"/>
      <c r="J31" s="31"/>
      <c r="K31" s="31"/>
      <c r="L31" s="31"/>
      <c r="M31" s="31"/>
      <c r="N31" s="31"/>
      <c r="O31" s="31"/>
      <c r="P31" s="161">
        <f t="shared" si="2"/>
        <v>0</v>
      </c>
    </row>
    <row r="32" spans="1:32" hidden="1" outlineLevel="1" x14ac:dyDescent="0.25">
      <c r="A32" s="20"/>
      <c r="B32" s="20"/>
      <c r="C32" s="20"/>
      <c r="D32" s="31"/>
      <c r="E32" s="31"/>
      <c r="F32" s="31"/>
      <c r="G32" s="31"/>
      <c r="H32" s="31"/>
      <c r="I32" s="31"/>
      <c r="J32" s="31"/>
      <c r="K32" s="31"/>
      <c r="L32" s="31"/>
      <c r="M32" s="31"/>
      <c r="N32" s="31"/>
      <c r="O32" s="31"/>
      <c r="P32" s="161">
        <f t="shared" si="2"/>
        <v>0</v>
      </c>
    </row>
    <row r="33" spans="1:16" hidden="1" outlineLevel="1" x14ac:dyDescent="0.25">
      <c r="A33" s="20"/>
      <c r="B33" s="20"/>
      <c r="C33" s="20"/>
      <c r="D33" s="31"/>
      <c r="E33" s="31"/>
      <c r="F33" s="31"/>
      <c r="G33" s="31"/>
      <c r="H33" s="31"/>
      <c r="I33" s="31"/>
      <c r="J33" s="31"/>
      <c r="K33" s="31"/>
      <c r="L33" s="31"/>
      <c r="M33" s="31"/>
      <c r="N33" s="31"/>
      <c r="O33" s="31"/>
      <c r="P33" s="161">
        <f t="shared" si="2"/>
        <v>0</v>
      </c>
    </row>
    <row r="34" spans="1:16" hidden="1" outlineLevel="1" x14ac:dyDescent="0.25">
      <c r="A34" s="20"/>
      <c r="B34" s="20"/>
      <c r="C34" s="20"/>
      <c r="D34" s="31"/>
      <c r="E34" s="31"/>
      <c r="F34" s="31"/>
      <c r="G34" s="31"/>
      <c r="H34" s="31"/>
      <c r="I34" s="31"/>
      <c r="J34" s="31"/>
      <c r="K34" s="31"/>
      <c r="L34" s="31"/>
      <c r="M34" s="31"/>
      <c r="N34" s="31"/>
      <c r="O34" s="31"/>
      <c r="P34" s="161">
        <f t="shared" si="2"/>
        <v>0</v>
      </c>
    </row>
    <row r="35" spans="1:16" hidden="1" outlineLevel="1" x14ac:dyDescent="0.25">
      <c r="A35" s="20"/>
      <c r="B35" s="20"/>
      <c r="C35" s="20"/>
      <c r="D35" s="31"/>
      <c r="E35" s="31"/>
      <c r="F35" s="31"/>
      <c r="G35" s="31"/>
      <c r="H35" s="31"/>
      <c r="I35" s="31"/>
      <c r="J35" s="31"/>
      <c r="K35" s="31"/>
      <c r="L35" s="31"/>
      <c r="M35" s="31"/>
      <c r="N35" s="31"/>
      <c r="O35" s="31"/>
      <c r="P35" s="161">
        <f t="shared" si="2"/>
        <v>0</v>
      </c>
    </row>
    <row r="36" spans="1:16" hidden="1" outlineLevel="1" x14ac:dyDescent="0.25">
      <c r="A36" s="20"/>
      <c r="B36" s="20"/>
      <c r="C36" s="20"/>
      <c r="D36" s="31"/>
      <c r="E36" s="31"/>
      <c r="F36" s="31"/>
      <c r="G36" s="31"/>
      <c r="H36" s="31"/>
      <c r="I36" s="31"/>
      <c r="J36" s="31"/>
      <c r="K36" s="31"/>
      <c r="L36" s="31"/>
      <c r="M36" s="31"/>
      <c r="N36" s="31"/>
      <c r="O36" s="31"/>
      <c r="P36" s="161">
        <f t="shared" si="2"/>
        <v>0</v>
      </c>
    </row>
    <row r="37" spans="1:16" hidden="1" outlineLevel="1" x14ac:dyDescent="0.25">
      <c r="A37" s="20"/>
      <c r="B37" s="20"/>
      <c r="C37" s="20"/>
      <c r="D37" s="31"/>
      <c r="E37" s="31"/>
      <c r="F37" s="31"/>
      <c r="G37" s="31"/>
      <c r="H37" s="31"/>
      <c r="I37" s="31"/>
      <c r="J37" s="31"/>
      <c r="K37" s="31"/>
      <c r="L37" s="31"/>
      <c r="M37" s="31"/>
      <c r="N37" s="31"/>
      <c r="O37" s="31"/>
      <c r="P37" s="161">
        <f t="shared" si="2"/>
        <v>0</v>
      </c>
    </row>
    <row r="38" spans="1:16" hidden="1" outlineLevel="1" x14ac:dyDescent="0.25">
      <c r="A38" s="20"/>
      <c r="B38" s="20"/>
      <c r="C38" s="20"/>
      <c r="D38" s="31"/>
      <c r="E38" s="31"/>
      <c r="F38" s="31"/>
      <c r="G38" s="31"/>
      <c r="H38" s="31"/>
      <c r="I38" s="31"/>
      <c r="J38" s="31"/>
      <c r="K38" s="31"/>
      <c r="L38" s="31"/>
      <c r="M38" s="31"/>
      <c r="N38" s="31"/>
      <c r="O38" s="31"/>
      <c r="P38" s="161">
        <f t="shared" si="2"/>
        <v>0</v>
      </c>
    </row>
    <row r="39" spans="1:16" hidden="1" outlineLevel="1" x14ac:dyDescent="0.25">
      <c r="A39" s="20"/>
      <c r="B39" s="20"/>
      <c r="C39" s="20"/>
      <c r="D39" s="31"/>
      <c r="E39" s="31"/>
      <c r="F39" s="31"/>
      <c r="G39" s="31"/>
      <c r="H39" s="31"/>
      <c r="I39" s="31"/>
      <c r="J39" s="31"/>
      <c r="K39" s="31"/>
      <c r="L39" s="31"/>
      <c r="M39" s="31"/>
      <c r="N39" s="31"/>
      <c r="O39" s="31"/>
      <c r="P39" s="161">
        <f t="shared" si="2"/>
        <v>0</v>
      </c>
    </row>
    <row r="40" spans="1:16" hidden="1" outlineLevel="1" x14ac:dyDescent="0.25">
      <c r="A40" s="20"/>
      <c r="B40" s="20"/>
      <c r="C40" s="20"/>
      <c r="D40" s="31"/>
      <c r="E40" s="31"/>
      <c r="F40" s="31"/>
      <c r="G40" s="31"/>
      <c r="H40" s="31"/>
      <c r="I40" s="31"/>
      <c r="J40" s="31"/>
      <c r="K40" s="31"/>
      <c r="L40" s="31"/>
      <c r="M40" s="31"/>
      <c r="N40" s="31"/>
      <c r="O40" s="31"/>
      <c r="P40" s="161">
        <f t="shared" si="2"/>
        <v>0</v>
      </c>
    </row>
    <row r="41" spans="1:16" hidden="1" outlineLevel="1" x14ac:dyDescent="0.25">
      <c r="A41" s="20"/>
      <c r="B41" s="20"/>
      <c r="C41" s="20"/>
      <c r="D41" s="31"/>
      <c r="E41" s="31"/>
      <c r="F41" s="31"/>
      <c r="G41" s="31"/>
      <c r="H41" s="31"/>
      <c r="I41" s="31"/>
      <c r="J41" s="31"/>
      <c r="K41" s="31"/>
      <c r="L41" s="31"/>
      <c r="M41" s="31"/>
      <c r="N41" s="31"/>
      <c r="O41" s="31"/>
      <c r="P41" s="161">
        <f t="shared" si="2"/>
        <v>0</v>
      </c>
    </row>
    <row r="42" spans="1:16" hidden="1" outlineLevel="1" x14ac:dyDescent="0.25">
      <c r="A42" s="20"/>
      <c r="B42" s="20"/>
      <c r="C42" s="20"/>
      <c r="D42" s="31"/>
      <c r="E42" s="31"/>
      <c r="F42" s="31"/>
      <c r="G42" s="31"/>
      <c r="H42" s="31"/>
      <c r="I42" s="31"/>
      <c r="J42" s="31"/>
      <c r="K42" s="31"/>
      <c r="L42" s="31"/>
      <c r="M42" s="31"/>
      <c r="N42" s="31"/>
      <c r="O42" s="31"/>
      <c r="P42" s="161">
        <f t="shared" si="2"/>
        <v>0</v>
      </c>
    </row>
    <row r="43" spans="1:16" hidden="1" outlineLevel="1" x14ac:dyDescent="0.25">
      <c r="A43" s="20"/>
      <c r="B43" s="20"/>
      <c r="C43" s="20"/>
      <c r="D43" s="31"/>
      <c r="E43" s="31"/>
      <c r="F43" s="31"/>
      <c r="G43" s="31"/>
      <c r="H43" s="31"/>
      <c r="I43" s="31"/>
      <c r="J43" s="31"/>
      <c r="K43" s="31"/>
      <c r="L43" s="31"/>
      <c r="M43" s="31"/>
      <c r="N43" s="31"/>
      <c r="O43" s="31"/>
      <c r="P43" s="161">
        <f t="shared" si="2"/>
        <v>0</v>
      </c>
    </row>
    <row r="44" spans="1:16" hidden="1" outlineLevel="1" x14ac:dyDescent="0.25">
      <c r="A44" s="20"/>
      <c r="B44" s="20"/>
      <c r="C44" s="20"/>
      <c r="D44" s="31"/>
      <c r="E44" s="31"/>
      <c r="F44" s="31"/>
      <c r="G44" s="31"/>
      <c r="H44" s="31"/>
      <c r="I44" s="31"/>
      <c r="J44" s="31"/>
      <c r="K44" s="31"/>
      <c r="L44" s="31"/>
      <c r="M44" s="31"/>
      <c r="N44" s="31"/>
      <c r="O44" s="31"/>
      <c r="P44" s="161">
        <f t="shared" si="2"/>
        <v>0</v>
      </c>
    </row>
    <row r="45" spans="1:16" hidden="1" outlineLevel="1" x14ac:dyDescent="0.25">
      <c r="A45" s="20"/>
      <c r="B45" s="20"/>
      <c r="C45" s="20"/>
      <c r="D45" s="31"/>
      <c r="E45" s="31"/>
      <c r="F45" s="31"/>
      <c r="G45" s="31"/>
      <c r="H45" s="31"/>
      <c r="I45" s="31"/>
      <c r="J45" s="31"/>
      <c r="K45" s="31"/>
      <c r="L45" s="31"/>
      <c r="M45" s="31"/>
      <c r="N45" s="31"/>
      <c r="O45" s="31"/>
      <c r="P45" s="161">
        <f t="shared" si="2"/>
        <v>0</v>
      </c>
    </row>
    <row r="46" spans="1:16" hidden="1" outlineLevel="1" x14ac:dyDescent="0.25">
      <c r="A46" s="20"/>
      <c r="B46" s="20"/>
      <c r="C46" s="20"/>
      <c r="D46" s="31"/>
      <c r="E46" s="31"/>
      <c r="F46" s="31"/>
      <c r="G46" s="31"/>
      <c r="H46" s="31"/>
      <c r="I46" s="31"/>
      <c r="J46" s="31"/>
      <c r="K46" s="31"/>
      <c r="L46" s="31"/>
      <c r="M46" s="31"/>
      <c r="N46" s="31"/>
      <c r="O46" s="31"/>
      <c r="P46" s="161">
        <f t="shared" si="2"/>
        <v>0</v>
      </c>
    </row>
    <row r="47" spans="1:16" hidden="1" outlineLevel="1" x14ac:dyDescent="0.25">
      <c r="A47" s="20"/>
      <c r="B47" s="20"/>
      <c r="C47" s="20"/>
      <c r="D47" s="31"/>
      <c r="E47" s="31"/>
      <c r="F47" s="31"/>
      <c r="G47" s="31"/>
      <c r="H47" s="31"/>
      <c r="I47" s="31"/>
      <c r="J47" s="31"/>
      <c r="K47" s="31"/>
      <c r="L47" s="31"/>
      <c r="M47" s="31"/>
      <c r="N47" s="31"/>
      <c r="O47" s="31"/>
      <c r="P47" s="161">
        <f t="shared" si="2"/>
        <v>0</v>
      </c>
    </row>
    <row r="48" spans="1:16" hidden="1" outlineLevel="1" x14ac:dyDescent="0.25">
      <c r="A48" s="20"/>
      <c r="B48" s="20"/>
      <c r="C48" s="20"/>
      <c r="D48" s="31"/>
      <c r="E48" s="31"/>
      <c r="F48" s="31"/>
      <c r="G48" s="31"/>
      <c r="H48" s="31"/>
      <c r="I48" s="31"/>
      <c r="J48" s="31"/>
      <c r="K48" s="31"/>
      <c r="L48" s="31"/>
      <c r="M48" s="31"/>
      <c r="N48" s="31"/>
      <c r="O48" s="31"/>
      <c r="P48" s="161">
        <f t="shared" si="2"/>
        <v>0</v>
      </c>
    </row>
    <row r="49" spans="1:16" hidden="1" outlineLevel="1" x14ac:dyDescent="0.25">
      <c r="A49" s="20"/>
      <c r="B49" s="20"/>
      <c r="C49" s="20"/>
      <c r="D49" s="31"/>
      <c r="E49" s="31"/>
      <c r="F49" s="31"/>
      <c r="G49" s="31"/>
      <c r="H49" s="31"/>
      <c r="I49" s="31"/>
      <c r="J49" s="31"/>
      <c r="K49" s="31"/>
      <c r="L49" s="31"/>
      <c r="M49" s="31"/>
      <c r="N49" s="31"/>
      <c r="O49" s="31"/>
      <c r="P49" s="161">
        <f t="shared" si="2"/>
        <v>0</v>
      </c>
    </row>
    <row r="50" spans="1:16" hidden="1" outlineLevel="1" x14ac:dyDescent="0.25">
      <c r="A50" s="20"/>
      <c r="B50" s="20"/>
      <c r="C50" s="20"/>
      <c r="D50" s="31"/>
      <c r="E50" s="31"/>
      <c r="F50" s="31"/>
      <c r="G50" s="31"/>
      <c r="H50" s="31"/>
      <c r="I50" s="31"/>
      <c r="J50" s="31"/>
      <c r="K50" s="31"/>
      <c r="L50" s="31"/>
      <c r="M50" s="31"/>
      <c r="N50" s="31"/>
      <c r="O50" s="31"/>
      <c r="P50" s="161">
        <f t="shared" si="2"/>
        <v>0</v>
      </c>
    </row>
    <row r="51" spans="1:16" hidden="1" outlineLevel="1" x14ac:dyDescent="0.25">
      <c r="A51" s="20"/>
      <c r="B51" s="20"/>
      <c r="C51" s="20"/>
      <c r="D51" s="31"/>
      <c r="E51" s="31"/>
      <c r="F51" s="31"/>
      <c r="G51" s="31"/>
      <c r="H51" s="31"/>
      <c r="I51" s="31"/>
      <c r="J51" s="31"/>
      <c r="K51" s="31"/>
      <c r="L51" s="31"/>
      <c r="M51" s="31"/>
      <c r="N51" s="31"/>
      <c r="O51" s="31"/>
      <c r="P51" s="161">
        <f t="shared" si="2"/>
        <v>0</v>
      </c>
    </row>
    <row r="52" spans="1:16" hidden="1" outlineLevel="1" x14ac:dyDescent="0.25">
      <c r="A52" s="20"/>
      <c r="B52" s="20"/>
      <c r="C52" s="20"/>
      <c r="D52" s="31"/>
      <c r="E52" s="31"/>
      <c r="F52" s="31"/>
      <c r="G52" s="31"/>
      <c r="H52" s="31"/>
      <c r="I52" s="31"/>
      <c r="J52" s="31"/>
      <c r="K52" s="31"/>
      <c r="L52" s="31"/>
      <c r="M52" s="31"/>
      <c r="N52" s="31"/>
      <c r="O52" s="31"/>
      <c r="P52" s="161">
        <f t="shared" si="2"/>
        <v>0</v>
      </c>
    </row>
    <row r="53" spans="1:16" hidden="1" outlineLevel="1" x14ac:dyDescent="0.25">
      <c r="A53" s="20"/>
      <c r="B53" s="20"/>
      <c r="C53" s="20"/>
      <c r="D53" s="31"/>
      <c r="E53" s="31"/>
      <c r="F53" s="31"/>
      <c r="G53" s="31"/>
      <c r="H53" s="31"/>
      <c r="I53" s="31"/>
      <c r="J53" s="31"/>
      <c r="K53" s="31"/>
      <c r="L53" s="31"/>
      <c r="M53" s="31"/>
      <c r="N53" s="31"/>
      <c r="O53" s="31"/>
      <c r="P53" s="161">
        <f t="shared" si="2"/>
        <v>0</v>
      </c>
    </row>
    <row r="54" spans="1:16" hidden="1" outlineLevel="1" x14ac:dyDescent="0.25">
      <c r="A54" s="20"/>
      <c r="B54" s="20"/>
      <c r="C54" s="20"/>
      <c r="D54" s="31"/>
      <c r="E54" s="31"/>
      <c r="F54" s="31"/>
      <c r="G54" s="31"/>
      <c r="H54" s="31"/>
      <c r="I54" s="31"/>
      <c r="J54" s="31"/>
      <c r="K54" s="31"/>
      <c r="L54" s="31"/>
      <c r="M54" s="31"/>
      <c r="N54" s="31"/>
      <c r="O54" s="31"/>
      <c r="P54" s="161">
        <f t="shared" si="2"/>
        <v>0</v>
      </c>
    </row>
    <row r="55" spans="1:16" hidden="1" outlineLevel="1" x14ac:dyDescent="0.25">
      <c r="A55" s="20"/>
      <c r="B55" s="20"/>
      <c r="C55" s="20"/>
      <c r="D55" s="31"/>
      <c r="E55" s="31"/>
      <c r="F55" s="31"/>
      <c r="G55" s="31"/>
      <c r="H55" s="31"/>
      <c r="I55" s="31"/>
      <c r="J55" s="31"/>
      <c r="K55" s="31"/>
      <c r="L55" s="31"/>
      <c r="M55" s="31"/>
      <c r="N55" s="31"/>
      <c r="O55" s="31"/>
      <c r="P55" s="161">
        <f t="shared" si="2"/>
        <v>0</v>
      </c>
    </row>
    <row r="56" spans="1:16" hidden="1" outlineLevel="1" x14ac:dyDescent="0.25">
      <c r="A56" s="20"/>
      <c r="B56" s="20"/>
      <c r="C56" s="20"/>
      <c r="D56" s="31"/>
      <c r="E56" s="31"/>
      <c r="F56" s="31"/>
      <c r="G56" s="31"/>
      <c r="H56" s="31"/>
      <c r="I56" s="31"/>
      <c r="J56" s="31"/>
      <c r="K56" s="31"/>
      <c r="L56" s="31"/>
      <c r="M56" s="31"/>
      <c r="N56" s="31"/>
      <c r="O56" s="31"/>
      <c r="P56" s="161">
        <f t="shared" si="2"/>
        <v>0</v>
      </c>
    </row>
    <row r="57" spans="1:16" hidden="1" outlineLevel="1" x14ac:dyDescent="0.25">
      <c r="A57" s="20"/>
      <c r="B57" s="20"/>
      <c r="C57" s="20"/>
      <c r="D57" s="31"/>
      <c r="E57" s="31"/>
      <c r="F57" s="31"/>
      <c r="G57" s="31"/>
      <c r="H57" s="31"/>
      <c r="I57" s="31"/>
      <c r="J57" s="31"/>
      <c r="K57" s="31"/>
      <c r="L57" s="31"/>
      <c r="M57" s="31"/>
      <c r="N57" s="31"/>
      <c r="O57" s="31"/>
      <c r="P57" s="161">
        <f t="shared" si="2"/>
        <v>0</v>
      </c>
    </row>
    <row r="58" spans="1:16" hidden="1" outlineLevel="1" x14ac:dyDescent="0.25">
      <c r="A58" s="20"/>
      <c r="B58" s="20"/>
      <c r="C58" s="20"/>
      <c r="D58" s="31"/>
      <c r="E58" s="31"/>
      <c r="F58" s="31"/>
      <c r="G58" s="31"/>
      <c r="H58" s="31"/>
      <c r="I58" s="31"/>
      <c r="J58" s="31"/>
      <c r="K58" s="31"/>
      <c r="L58" s="31"/>
      <c r="M58" s="31"/>
      <c r="N58" s="31"/>
      <c r="O58" s="31"/>
      <c r="P58" s="161">
        <f t="shared" si="2"/>
        <v>0</v>
      </c>
    </row>
    <row r="59" spans="1:16" hidden="1" outlineLevel="1" x14ac:dyDescent="0.25">
      <c r="A59" s="20"/>
      <c r="B59" s="20"/>
      <c r="C59" s="20"/>
      <c r="D59" s="31"/>
      <c r="E59" s="31"/>
      <c r="F59" s="31"/>
      <c r="G59" s="31"/>
      <c r="H59" s="31"/>
      <c r="I59" s="31"/>
      <c r="J59" s="31"/>
      <c r="K59" s="31"/>
      <c r="L59" s="31"/>
      <c r="M59" s="31"/>
      <c r="N59" s="31"/>
      <c r="O59" s="31"/>
      <c r="P59" s="161">
        <f t="shared" si="2"/>
        <v>0</v>
      </c>
    </row>
    <row r="60" spans="1:16" hidden="1" outlineLevel="1" x14ac:dyDescent="0.25">
      <c r="A60" s="20"/>
      <c r="B60" s="20"/>
      <c r="C60" s="20"/>
      <c r="D60" s="31"/>
      <c r="E60" s="31"/>
      <c r="F60" s="31"/>
      <c r="G60" s="31"/>
      <c r="H60" s="31"/>
      <c r="I60" s="31"/>
      <c r="J60" s="31"/>
      <c r="K60" s="31"/>
      <c r="L60" s="31"/>
      <c r="M60" s="31"/>
      <c r="N60" s="31"/>
      <c r="O60" s="31"/>
      <c r="P60" s="161">
        <f t="shared" si="2"/>
        <v>0</v>
      </c>
    </row>
    <row r="61" spans="1:16" hidden="1" outlineLevel="1" x14ac:dyDescent="0.25">
      <c r="A61" s="20"/>
      <c r="B61" s="20"/>
      <c r="C61" s="20"/>
      <c r="D61" s="31"/>
      <c r="E61" s="31"/>
      <c r="F61" s="31"/>
      <c r="G61" s="31"/>
      <c r="H61" s="31"/>
      <c r="I61" s="31"/>
      <c r="J61" s="31"/>
      <c r="K61" s="31"/>
      <c r="L61" s="31"/>
      <c r="M61" s="31"/>
      <c r="N61" s="31"/>
      <c r="O61" s="31"/>
      <c r="P61" s="161">
        <f t="shared" si="2"/>
        <v>0</v>
      </c>
    </row>
    <row r="62" spans="1:16" collapsed="1" x14ac:dyDescent="0.25">
      <c r="A62" s="333" t="s">
        <v>158</v>
      </c>
      <c r="B62" s="334"/>
      <c r="C62" s="335"/>
      <c r="D62" s="161">
        <f>SUM(D10:D61)</f>
        <v>460000</v>
      </c>
      <c r="E62" s="161">
        <f t="shared" ref="E62:P62" si="3">SUM(E10:E61)</f>
        <v>419874.99999999994</v>
      </c>
      <c r="F62" s="161">
        <f t="shared" si="3"/>
        <v>429996.87499999988</v>
      </c>
      <c r="G62" s="161">
        <f t="shared" si="3"/>
        <v>440371.79687499983</v>
      </c>
      <c r="H62" s="161">
        <f t="shared" si="3"/>
        <v>252319.77148437488</v>
      </c>
      <c r="I62" s="161">
        <f t="shared" si="3"/>
        <v>0</v>
      </c>
      <c r="J62" s="161">
        <f t="shared" si="3"/>
        <v>0</v>
      </c>
      <c r="K62" s="161">
        <f t="shared" si="3"/>
        <v>0</v>
      </c>
      <c r="L62" s="161">
        <f t="shared" si="3"/>
        <v>0</v>
      </c>
      <c r="M62" s="161">
        <f t="shared" si="3"/>
        <v>0</v>
      </c>
      <c r="N62" s="161">
        <f t="shared" ref="N62:O62" si="4">SUM(N10:N61)</f>
        <v>0</v>
      </c>
      <c r="O62" s="161">
        <f t="shared" si="4"/>
        <v>0</v>
      </c>
      <c r="P62" s="161">
        <f t="shared" si="3"/>
        <v>2002563.4433593745</v>
      </c>
    </row>
    <row r="63" spans="1:16" ht="15.75" thickBot="1" x14ac:dyDescent="0.3"/>
    <row r="64" spans="1:16" x14ac:dyDescent="0.25">
      <c r="C64" s="322" t="s">
        <v>159</v>
      </c>
      <c r="D64" s="323"/>
      <c r="E64" s="323"/>
      <c r="F64" s="323"/>
      <c r="G64" s="323"/>
      <c r="H64" s="323"/>
      <c r="I64" s="323"/>
      <c r="J64" s="323"/>
      <c r="K64" s="323"/>
      <c r="L64" s="323"/>
      <c r="M64" s="323"/>
      <c r="N64" s="323"/>
      <c r="O64" s="323"/>
      <c r="P64" s="324"/>
    </row>
    <row r="65" spans="3:16" x14ac:dyDescent="0.25">
      <c r="C65" s="110" t="s">
        <v>156</v>
      </c>
      <c r="D65" s="162">
        <f>YEAR('1. Prosjektinfo'!B6)</f>
        <v>2019</v>
      </c>
      <c r="E65" s="162">
        <f>D65+1</f>
        <v>2020</v>
      </c>
      <c r="F65" s="162">
        <f t="shared" ref="F65:L65" si="5">E65+1</f>
        <v>2021</v>
      </c>
      <c r="G65" s="162">
        <f t="shared" si="5"/>
        <v>2022</v>
      </c>
      <c r="H65" s="162">
        <f t="shared" si="5"/>
        <v>2023</v>
      </c>
      <c r="I65" s="162">
        <f t="shared" si="5"/>
        <v>2024</v>
      </c>
      <c r="J65" s="162">
        <f t="shared" si="5"/>
        <v>2025</v>
      </c>
      <c r="K65" s="162">
        <f>J65+1</f>
        <v>2026</v>
      </c>
      <c r="L65" s="162">
        <f t="shared" si="5"/>
        <v>2027</v>
      </c>
      <c r="M65" s="162">
        <f>L65+1</f>
        <v>2028</v>
      </c>
      <c r="N65" s="162">
        <f t="shared" ref="N65:O65" si="6">M65+1</f>
        <v>2029</v>
      </c>
      <c r="O65" s="162">
        <f t="shared" si="6"/>
        <v>2030</v>
      </c>
      <c r="P65" s="37" t="s">
        <v>79</v>
      </c>
    </row>
    <row r="66" spans="3:16" x14ac:dyDescent="0.25">
      <c r="C66" s="38" t="s">
        <v>154</v>
      </c>
      <c r="D66" s="32">
        <f t="shared" ref="D66:O66" si="7">SUMIF($A10:$A61,$C$66,D10:D61)</f>
        <v>115000</v>
      </c>
      <c r="E66" s="32">
        <f t="shared" si="7"/>
        <v>117874.99999999999</v>
      </c>
      <c r="F66" s="32">
        <f t="shared" si="7"/>
        <v>120821.87499999997</v>
      </c>
      <c r="G66" s="32">
        <f t="shared" si="7"/>
        <v>123842.42187499996</v>
      </c>
      <c r="H66" s="32">
        <f t="shared" si="7"/>
        <v>126938.48242187494</v>
      </c>
      <c r="I66" s="32">
        <f t="shared" si="7"/>
        <v>0</v>
      </c>
      <c r="J66" s="32">
        <f t="shared" si="7"/>
        <v>0</v>
      </c>
      <c r="K66" s="32">
        <f t="shared" si="7"/>
        <v>0</v>
      </c>
      <c r="L66" s="32">
        <f t="shared" si="7"/>
        <v>0</v>
      </c>
      <c r="M66" s="32">
        <f t="shared" si="7"/>
        <v>0</v>
      </c>
      <c r="N66" s="32">
        <f t="shared" si="7"/>
        <v>0</v>
      </c>
      <c r="O66" s="32">
        <f t="shared" si="7"/>
        <v>0</v>
      </c>
      <c r="P66" s="34">
        <f t="shared" ref="P66:P72" si="8">SUM(D66:O66)</f>
        <v>604477.77929687488</v>
      </c>
    </row>
    <row r="67" spans="3:16" x14ac:dyDescent="0.25">
      <c r="C67" s="38" t="s">
        <v>510</v>
      </c>
      <c r="D67" s="32">
        <f>SUMIF($A10:$A61,$C$67,D10:D61)</f>
        <v>0</v>
      </c>
      <c r="E67" s="32">
        <f t="shared" ref="E67:O67" si="9">SUMIF($A10:$A61,$C$67,E10:E61)</f>
        <v>0</v>
      </c>
      <c r="F67" s="32">
        <f t="shared" si="9"/>
        <v>0</v>
      </c>
      <c r="G67" s="32">
        <f t="shared" si="9"/>
        <v>0</v>
      </c>
      <c r="H67" s="32">
        <f t="shared" si="9"/>
        <v>0</v>
      </c>
      <c r="I67" s="32">
        <f t="shared" si="9"/>
        <v>0</v>
      </c>
      <c r="J67" s="32">
        <f t="shared" si="9"/>
        <v>0</v>
      </c>
      <c r="K67" s="32">
        <f t="shared" si="9"/>
        <v>0</v>
      </c>
      <c r="L67" s="32">
        <f t="shared" si="9"/>
        <v>0</v>
      </c>
      <c r="M67" s="32">
        <f t="shared" si="9"/>
        <v>0</v>
      </c>
      <c r="N67" s="32">
        <f t="shared" si="9"/>
        <v>0</v>
      </c>
      <c r="O67" s="32">
        <f t="shared" si="9"/>
        <v>0</v>
      </c>
      <c r="P67" s="34">
        <f t="shared" si="8"/>
        <v>0</v>
      </c>
    </row>
    <row r="68" spans="3:16" x14ac:dyDescent="0.25">
      <c r="C68" s="38" t="s">
        <v>180</v>
      </c>
      <c r="D68" s="32">
        <f>SUMIF($A10:$A61,$C$68,D10:D61)</f>
        <v>0</v>
      </c>
      <c r="E68" s="32">
        <f t="shared" ref="E68:M68" si="10">SUMIF($A10:$A61,$C$68,E10:E61)</f>
        <v>0</v>
      </c>
      <c r="F68" s="32">
        <f t="shared" si="10"/>
        <v>0</v>
      </c>
      <c r="G68" s="32">
        <f t="shared" si="10"/>
        <v>0</v>
      </c>
      <c r="H68" s="32">
        <f t="shared" si="10"/>
        <v>0</v>
      </c>
      <c r="I68" s="32">
        <f t="shared" si="10"/>
        <v>0</v>
      </c>
      <c r="J68" s="32">
        <f t="shared" si="10"/>
        <v>0</v>
      </c>
      <c r="K68" s="32">
        <f t="shared" si="10"/>
        <v>0</v>
      </c>
      <c r="L68" s="32">
        <f t="shared" si="10"/>
        <v>0</v>
      </c>
      <c r="M68" s="32">
        <f t="shared" si="10"/>
        <v>0</v>
      </c>
      <c r="N68" s="32">
        <f t="shared" ref="N68:O68" si="11">SUMIF($A10:$A61,$C$68,N10:N61)</f>
        <v>0</v>
      </c>
      <c r="O68" s="32">
        <f t="shared" si="11"/>
        <v>0</v>
      </c>
      <c r="P68" s="34">
        <f t="shared" si="8"/>
        <v>0</v>
      </c>
    </row>
    <row r="69" spans="3:16" x14ac:dyDescent="0.25">
      <c r="C69" s="38" t="s">
        <v>152</v>
      </c>
      <c r="D69" s="32">
        <f>SUMIF($A10:$A61,$C$69,D10:D61)</f>
        <v>65000</v>
      </c>
      <c r="E69" s="32">
        <f t="shared" ref="E69:M69" si="12">SUMIF($A10:$A61,$C$69,E10:E61)</f>
        <v>15000</v>
      </c>
      <c r="F69" s="32">
        <f t="shared" si="12"/>
        <v>15000</v>
      </c>
      <c r="G69" s="32">
        <f t="shared" si="12"/>
        <v>15000</v>
      </c>
      <c r="H69" s="32">
        <f t="shared" si="12"/>
        <v>15000</v>
      </c>
      <c r="I69" s="32">
        <f t="shared" si="12"/>
        <v>0</v>
      </c>
      <c r="J69" s="32">
        <f t="shared" si="12"/>
        <v>0</v>
      </c>
      <c r="K69" s="32">
        <f t="shared" si="12"/>
        <v>0</v>
      </c>
      <c r="L69" s="32">
        <f t="shared" si="12"/>
        <v>0</v>
      </c>
      <c r="M69" s="32">
        <f t="shared" si="12"/>
        <v>0</v>
      </c>
      <c r="N69" s="32">
        <f t="shared" ref="N69:O69" si="13">SUMIF($A10:$A61,$C$69,N10:N61)</f>
        <v>0</v>
      </c>
      <c r="O69" s="32">
        <f t="shared" si="13"/>
        <v>0</v>
      </c>
      <c r="P69" s="34">
        <f t="shared" si="8"/>
        <v>125000</v>
      </c>
    </row>
    <row r="70" spans="3:16" x14ac:dyDescent="0.25">
      <c r="C70" s="111" t="s">
        <v>181</v>
      </c>
      <c r="D70" s="32">
        <f t="shared" ref="D70:O70" si="14">SUMIF($A10:$A61,$C$70,D10:D61)</f>
        <v>230000</v>
      </c>
      <c r="E70" s="32">
        <f t="shared" si="14"/>
        <v>235749.99999999997</v>
      </c>
      <c r="F70" s="32">
        <f t="shared" si="14"/>
        <v>241643.74999999994</v>
      </c>
      <c r="G70" s="32">
        <f t="shared" si="14"/>
        <v>247684.84374999988</v>
      </c>
      <c r="H70" s="32">
        <f t="shared" si="14"/>
        <v>55190.644531249971</v>
      </c>
      <c r="I70" s="32">
        <f t="shared" si="14"/>
        <v>0</v>
      </c>
      <c r="J70" s="32">
        <f t="shared" si="14"/>
        <v>0</v>
      </c>
      <c r="K70" s="32">
        <f t="shared" si="14"/>
        <v>0</v>
      </c>
      <c r="L70" s="32">
        <f t="shared" si="14"/>
        <v>0</v>
      </c>
      <c r="M70" s="32">
        <f t="shared" si="14"/>
        <v>0</v>
      </c>
      <c r="N70" s="32">
        <f t="shared" si="14"/>
        <v>0</v>
      </c>
      <c r="O70" s="32">
        <f t="shared" si="14"/>
        <v>0</v>
      </c>
      <c r="P70" s="34">
        <f t="shared" si="8"/>
        <v>1010269.2382812499</v>
      </c>
    </row>
    <row r="71" spans="3:16" x14ac:dyDescent="0.25">
      <c r="C71" s="38" t="s">
        <v>153</v>
      </c>
      <c r="D71" s="32">
        <f t="shared" ref="D71:O71" si="15">SUMIF($A10:$A62,$C$71,D10:D62)</f>
        <v>50000</v>
      </c>
      <c r="E71" s="32">
        <f t="shared" si="15"/>
        <v>51249.999999999993</v>
      </c>
      <c r="F71" s="32">
        <f t="shared" si="15"/>
        <v>52531.249999999985</v>
      </c>
      <c r="G71" s="32">
        <f t="shared" si="15"/>
        <v>53844.531249999978</v>
      </c>
      <c r="H71" s="32">
        <f t="shared" si="15"/>
        <v>55190.644531249971</v>
      </c>
      <c r="I71" s="32">
        <f t="shared" si="15"/>
        <v>0</v>
      </c>
      <c r="J71" s="32">
        <f t="shared" si="15"/>
        <v>0</v>
      </c>
      <c r="K71" s="32">
        <f t="shared" si="15"/>
        <v>0</v>
      </c>
      <c r="L71" s="32">
        <f t="shared" si="15"/>
        <v>0</v>
      </c>
      <c r="M71" s="32">
        <f t="shared" si="15"/>
        <v>0</v>
      </c>
      <c r="N71" s="32">
        <f t="shared" si="15"/>
        <v>0</v>
      </c>
      <c r="O71" s="32">
        <f t="shared" si="15"/>
        <v>0</v>
      </c>
      <c r="P71" s="34">
        <f t="shared" si="8"/>
        <v>262816.42578124994</v>
      </c>
    </row>
    <row r="72" spans="3:16" ht="15.75" thickBot="1" x14ac:dyDescent="0.3">
      <c r="C72" s="112" t="s">
        <v>91</v>
      </c>
      <c r="D72" s="33">
        <f t="shared" ref="D72:O72" si="16">SUM(D66:D71)</f>
        <v>460000</v>
      </c>
      <c r="E72" s="33">
        <f t="shared" si="16"/>
        <v>419875</v>
      </c>
      <c r="F72" s="33">
        <f t="shared" si="16"/>
        <v>429996.87499999988</v>
      </c>
      <c r="G72" s="33">
        <f t="shared" si="16"/>
        <v>440371.79687499983</v>
      </c>
      <c r="H72" s="33">
        <f t="shared" si="16"/>
        <v>252319.77148437488</v>
      </c>
      <c r="I72" s="33">
        <f t="shared" si="16"/>
        <v>0</v>
      </c>
      <c r="J72" s="33">
        <f t="shared" si="16"/>
        <v>0</v>
      </c>
      <c r="K72" s="33">
        <f t="shared" si="16"/>
        <v>0</v>
      </c>
      <c r="L72" s="33">
        <f t="shared" si="16"/>
        <v>0</v>
      </c>
      <c r="M72" s="33">
        <f t="shared" si="16"/>
        <v>0</v>
      </c>
      <c r="N72" s="33">
        <f t="shared" si="16"/>
        <v>0</v>
      </c>
      <c r="O72" s="33">
        <f t="shared" si="16"/>
        <v>0</v>
      </c>
      <c r="P72" s="35">
        <f t="shared" si="8"/>
        <v>2002563.4433593745</v>
      </c>
    </row>
  </sheetData>
  <mergeCells count="5">
    <mergeCell ref="A62:C62"/>
    <mergeCell ref="C64:P64"/>
    <mergeCell ref="R7:X7"/>
    <mergeCell ref="Z7:AB7"/>
    <mergeCell ref="AC7:AD7"/>
  </mergeCells>
  <dataValidations count="1">
    <dataValidation type="list" allowBlank="1" showInputMessage="1" showErrorMessage="1" sqref="A10:A60">
      <formula1>Drift</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whole" operator="lessThanOrEqual" allowBlank="1" showInputMessage="1" showErrorMessage="1" error="Nummeret må være &lt;= antallet hovedaktiviteter registrert i 1.Prosjektinfo">
          <x14:formula1>
            <xm:f>'1. Prosjektinfo'!$B$9</xm:f>
          </x14:formula1>
          <xm:sqref>B10:B61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0"/>
  <sheetViews>
    <sheetView topLeftCell="A4" workbookViewId="0">
      <selection activeCell="Q35" sqref="Q35"/>
    </sheetView>
  </sheetViews>
  <sheetFormatPr baseColWidth="10" defaultColWidth="11.42578125" defaultRowHeight="15" outlineLevelCol="1" x14ac:dyDescent="0.25"/>
  <cols>
    <col min="1" max="1" width="58.42578125" bestFit="1" customWidth="1"/>
    <col min="2" max="2" width="12.28515625" bestFit="1" customWidth="1"/>
    <col min="3" max="3" width="15.42578125" bestFit="1" customWidth="1"/>
    <col min="4" max="4" width="12.42578125" bestFit="1" customWidth="1"/>
    <col min="5" max="5" width="16.7109375" bestFit="1" customWidth="1"/>
    <col min="6" max="6" width="12.42578125" bestFit="1" customWidth="1"/>
    <col min="7" max="13" width="12.42578125" hidden="1" customWidth="1" outlineLevel="1"/>
    <col min="14" max="14" width="13.42578125" bestFit="1" customWidth="1" collapsed="1"/>
    <col min="17" max="17" width="37.42578125" customWidth="1"/>
    <col min="20" max="20" width="16.28515625" bestFit="1" customWidth="1"/>
    <col min="21" max="21" width="12.7109375" bestFit="1" customWidth="1"/>
  </cols>
  <sheetData>
    <row r="1" spans="1:22" ht="23.25" x14ac:dyDescent="0.35">
      <c r="A1" s="101" t="s">
        <v>169</v>
      </c>
      <c r="B1" s="102"/>
      <c r="C1" s="101" t="str">
        <f>'1. Prosjektinfo'!B4</f>
        <v>Navn på prosjekt</v>
      </c>
      <c r="D1" s="102"/>
      <c r="E1" s="59" t="s">
        <v>174</v>
      </c>
      <c r="F1" s="59"/>
    </row>
    <row r="2" spans="1:22" ht="21" x14ac:dyDescent="0.35">
      <c r="A2" s="103" t="s">
        <v>170</v>
      </c>
      <c r="B2" s="103"/>
      <c r="C2" s="103" t="str">
        <f>'1. Prosjektinfo'!B5</f>
        <v>Anne Ås</v>
      </c>
      <c r="D2" s="102"/>
    </row>
    <row r="3" spans="1:22" ht="21" x14ac:dyDescent="0.35">
      <c r="A3" s="103" t="s">
        <v>118</v>
      </c>
      <c r="B3" s="103"/>
      <c r="C3" s="104">
        <f>'1. Prosjektinfo'!B6</f>
        <v>43466</v>
      </c>
      <c r="D3" s="102"/>
    </row>
    <row r="4" spans="1:22" ht="21" x14ac:dyDescent="0.35">
      <c r="A4" s="103" t="s">
        <v>119</v>
      </c>
      <c r="B4" s="103"/>
      <c r="C4" s="104">
        <f>'1. Prosjektinfo'!B7</f>
        <v>45291</v>
      </c>
      <c r="D4" s="102"/>
    </row>
    <row r="5" spans="1:22" ht="21" x14ac:dyDescent="0.35">
      <c r="A5" s="103" t="s">
        <v>166</v>
      </c>
      <c r="B5" s="103"/>
      <c r="C5" s="103" t="str">
        <f>'1. Prosjektinfo'!B8</f>
        <v>Bidrag</v>
      </c>
      <c r="D5" s="102"/>
    </row>
    <row r="6" spans="1:22" ht="21" x14ac:dyDescent="0.35">
      <c r="A6" s="103" t="s">
        <v>480</v>
      </c>
      <c r="B6" s="103"/>
      <c r="C6" s="280">
        <f>'1. Prosjektinfo'!B9</f>
        <v>2</v>
      </c>
      <c r="D6" s="102"/>
    </row>
    <row r="7" spans="1:22" ht="21" x14ac:dyDescent="0.35">
      <c r="A7" s="103" t="s">
        <v>167</v>
      </c>
      <c r="B7" s="103"/>
      <c r="C7" s="103" t="str">
        <f>'1. Prosjektinfo'!B10</f>
        <v>Norges Forskningsråd</v>
      </c>
      <c r="D7" s="102"/>
    </row>
    <row r="8" spans="1:22" ht="21" x14ac:dyDescent="0.35">
      <c r="A8" s="281"/>
      <c r="B8" s="281"/>
      <c r="C8" s="281"/>
      <c r="D8" s="152"/>
    </row>
    <row r="9" spans="1:22" ht="21" x14ac:dyDescent="0.35">
      <c r="A9" s="103" t="s">
        <v>517</v>
      </c>
      <c r="B9" s="103"/>
      <c r="C9" s="282" t="s">
        <v>186</v>
      </c>
      <c r="D9" s="152"/>
    </row>
    <row r="10" spans="1:22" ht="21" x14ac:dyDescent="0.35">
      <c r="A10" s="103" t="str">
        <f>IF(C9="Hovedaktivitet","Angi hovedaktivitet du ønsker budsjett for","")</f>
        <v/>
      </c>
      <c r="B10" s="103"/>
      <c r="C10" s="283">
        <v>2</v>
      </c>
      <c r="D10" s="152"/>
    </row>
    <row r="11" spans="1:22" ht="21" x14ac:dyDescent="0.35">
      <c r="A11" s="281"/>
      <c r="B11" s="281"/>
      <c r="C11" s="281"/>
      <c r="D11" s="152"/>
    </row>
    <row r="12" spans="1:22" ht="15.75" thickBot="1" x14ac:dyDescent="0.3"/>
    <row r="13" spans="1:22" x14ac:dyDescent="0.25">
      <c r="A13" s="330" t="s">
        <v>442</v>
      </c>
      <c r="B13" s="331"/>
      <c r="C13" s="331"/>
      <c r="D13" s="331"/>
      <c r="E13" s="331"/>
      <c r="F13" s="331"/>
      <c r="G13" s="331"/>
      <c r="H13" s="331"/>
      <c r="I13" s="331"/>
      <c r="J13" s="331"/>
      <c r="K13" s="331"/>
      <c r="L13" s="331"/>
      <c r="M13" s="331"/>
      <c r="N13" s="332"/>
      <c r="P13" s="322" t="s">
        <v>363</v>
      </c>
      <c r="Q13" s="323"/>
      <c r="R13" s="323"/>
      <c r="S13" s="323"/>
      <c r="T13" s="323"/>
      <c r="U13" s="324"/>
    </row>
    <row r="14" spans="1:22" x14ac:dyDescent="0.25">
      <c r="A14" s="38"/>
      <c r="B14" s="40">
        <f>YEAR('1. Prosjektinfo'!B6)</f>
        <v>2019</v>
      </c>
      <c r="C14" s="40">
        <f>B14+1</f>
        <v>2020</v>
      </c>
      <c r="D14" s="40">
        <f t="shared" ref="D14:J14" si="0">C14+1</f>
        <v>2021</v>
      </c>
      <c r="E14" s="40">
        <f t="shared" si="0"/>
        <v>2022</v>
      </c>
      <c r="F14" s="40">
        <f t="shared" si="0"/>
        <v>2023</v>
      </c>
      <c r="G14" s="40">
        <f t="shared" si="0"/>
        <v>2024</v>
      </c>
      <c r="H14" s="40">
        <f t="shared" si="0"/>
        <v>2025</v>
      </c>
      <c r="I14" s="40">
        <f t="shared" si="0"/>
        <v>2026</v>
      </c>
      <c r="J14" s="40">
        <f t="shared" si="0"/>
        <v>2027</v>
      </c>
      <c r="K14" s="40">
        <f>J14+1</f>
        <v>2028</v>
      </c>
      <c r="L14" s="40">
        <f t="shared" ref="L14:M14" si="1">K14+1</f>
        <v>2029</v>
      </c>
      <c r="M14" s="40">
        <f t="shared" si="1"/>
        <v>2030</v>
      </c>
      <c r="N14" s="29" t="s">
        <v>79</v>
      </c>
      <c r="P14" s="38" t="s">
        <v>345</v>
      </c>
      <c r="Q14" s="1" t="s">
        <v>346</v>
      </c>
      <c r="R14" s="1" t="s">
        <v>347</v>
      </c>
      <c r="S14" s="1" t="s">
        <v>348</v>
      </c>
      <c r="T14" s="1" t="s">
        <v>414</v>
      </c>
      <c r="U14" s="212" t="s">
        <v>415</v>
      </c>
    </row>
    <row r="15" spans="1:22" x14ac:dyDescent="0.25">
      <c r="A15" s="247" t="s">
        <v>443</v>
      </c>
      <c r="B15" s="32">
        <f>B100+B107</f>
        <v>172716.6</v>
      </c>
      <c r="C15" s="32">
        <f t="shared" ref="C15:M15" si="2">C100+C107</f>
        <v>262410.83400000003</v>
      </c>
      <c r="D15" s="32">
        <f t="shared" si="2"/>
        <v>333136.17952000001</v>
      </c>
      <c r="E15" s="32">
        <f t="shared" si="2"/>
        <v>278391.65379060002</v>
      </c>
      <c r="F15" s="32">
        <f t="shared" si="2"/>
        <v>286743.40340431809</v>
      </c>
      <c r="G15" s="32">
        <f t="shared" si="2"/>
        <v>0</v>
      </c>
      <c r="H15" s="32">
        <f t="shared" si="2"/>
        <v>0</v>
      </c>
      <c r="I15" s="32">
        <f t="shared" si="2"/>
        <v>0</v>
      </c>
      <c r="J15" s="32">
        <f t="shared" si="2"/>
        <v>0</v>
      </c>
      <c r="K15" s="32">
        <f t="shared" si="2"/>
        <v>0</v>
      </c>
      <c r="L15" s="32">
        <f t="shared" si="2"/>
        <v>0</v>
      </c>
      <c r="M15" s="32">
        <f t="shared" si="2"/>
        <v>0</v>
      </c>
      <c r="N15" s="34">
        <f>SUM(B15:M15)</f>
        <v>1333398.6707149181</v>
      </c>
      <c r="P15" s="38" t="s">
        <v>349</v>
      </c>
      <c r="Q15" s="1" t="s">
        <v>350</v>
      </c>
      <c r="R15" s="1" t="s">
        <v>351</v>
      </c>
      <c r="S15" s="44">
        <f>IF(C9="Totalt",SUM('3. Budsjettering - Timer'!AF11:AF50),SUMIF('3. Budsjettering - Timer'!$B$11:$B$50,'5. Oppsummering Budsjett'!$C$10,'3. Budsjettering - Timer'!$AF$11:$AF$50))</f>
        <v>1975.2</v>
      </c>
      <c r="T15" s="262" t="str">
        <f>IF(S15&gt;0,IF(C9="Totalt","Snitt:   "&amp; ROUND('3. Budsjettering - Timer'!AJ51,0),"Snitt:   "&amp; ROUND('3. Budsjettering - Timer'!AK51,0)),U15)</f>
        <v>Snitt:   974</v>
      </c>
      <c r="U15" s="206">
        <f>IF(C9="totalt",S15*ROUND('3. Budsjettering - Timer'!AJ51,2),S15*ROUND('3. Budsjettering - Timer'!AK51,2))</f>
        <v>1923844.8</v>
      </c>
      <c r="V15" s="263" t="s">
        <v>455</v>
      </c>
    </row>
    <row r="16" spans="1:22" x14ac:dyDescent="0.25">
      <c r="A16" s="247" t="s">
        <v>444</v>
      </c>
      <c r="B16" s="32">
        <f>B101</f>
        <v>615904.88861192309</v>
      </c>
      <c r="C16" s="32">
        <f t="shared" ref="C16:M16" si="3">C101</f>
        <v>634382.03527028079</v>
      </c>
      <c r="D16" s="32">
        <f t="shared" si="3"/>
        <v>2030976.37111344</v>
      </c>
      <c r="E16" s="32">
        <f t="shared" si="3"/>
        <v>1418889.7610286027</v>
      </c>
      <c r="F16" s="32">
        <f t="shared" si="3"/>
        <v>693206.37825478835</v>
      </c>
      <c r="G16" s="32">
        <f t="shared" si="3"/>
        <v>0</v>
      </c>
      <c r="H16" s="32">
        <f t="shared" si="3"/>
        <v>0</v>
      </c>
      <c r="I16" s="32">
        <f t="shared" si="3"/>
        <v>0</v>
      </c>
      <c r="J16" s="32">
        <f t="shared" si="3"/>
        <v>0</v>
      </c>
      <c r="K16" s="32">
        <f t="shared" si="3"/>
        <v>0</v>
      </c>
      <c r="L16" s="32">
        <f t="shared" si="3"/>
        <v>0</v>
      </c>
      <c r="M16" s="32">
        <f t="shared" si="3"/>
        <v>0</v>
      </c>
      <c r="N16" s="34">
        <f>SUM(B16:M16)</f>
        <v>5393359.4342790348</v>
      </c>
      <c r="P16" s="38" t="s">
        <v>352</v>
      </c>
      <c r="Q16" s="1" t="s">
        <v>353</v>
      </c>
      <c r="R16" s="1" t="s">
        <v>351</v>
      </c>
      <c r="S16" s="44"/>
      <c r="T16" s="67">
        <f>IF(S16&gt;0,(N116+N118)/S16,N116+N118)</f>
        <v>1010269.2382812499</v>
      </c>
      <c r="U16" s="206">
        <f>N116+N118</f>
        <v>1010269.2382812499</v>
      </c>
    </row>
    <row r="17" spans="1:22" x14ac:dyDescent="0.25">
      <c r="A17" s="247" t="s">
        <v>445</v>
      </c>
      <c r="B17" s="32">
        <f>B95</f>
        <v>505933.07091446535</v>
      </c>
      <c r="C17" s="32">
        <f t="shared" ref="C17:M17" si="4">C95</f>
        <v>567559.53104189935</v>
      </c>
      <c r="D17" s="32">
        <f t="shared" si="4"/>
        <v>1522461.4045094429</v>
      </c>
      <c r="E17" s="32">
        <f t="shared" si="4"/>
        <v>1064565.6995647752</v>
      </c>
      <c r="F17" s="32">
        <f t="shared" si="4"/>
        <v>620187.62367682171</v>
      </c>
      <c r="G17" s="32">
        <f t="shared" si="4"/>
        <v>0</v>
      </c>
      <c r="H17" s="32">
        <f t="shared" si="4"/>
        <v>0</v>
      </c>
      <c r="I17" s="32">
        <f t="shared" si="4"/>
        <v>0</v>
      </c>
      <c r="J17" s="32">
        <f t="shared" si="4"/>
        <v>0</v>
      </c>
      <c r="K17" s="32">
        <f t="shared" si="4"/>
        <v>0</v>
      </c>
      <c r="L17" s="32">
        <f t="shared" si="4"/>
        <v>0</v>
      </c>
      <c r="M17" s="32">
        <f t="shared" si="4"/>
        <v>0</v>
      </c>
      <c r="N17" s="34">
        <f>SUM(B17:M17)</f>
        <v>4280707.3297074046</v>
      </c>
      <c r="P17" s="38" t="s">
        <v>354</v>
      </c>
      <c r="Q17" s="1" t="s">
        <v>355</v>
      </c>
      <c r="R17" s="1" t="s">
        <v>356</v>
      </c>
      <c r="S17" s="44"/>
      <c r="T17" s="67">
        <f>IF(S17&gt;0,N117/S17,N117)</f>
        <v>125000</v>
      </c>
      <c r="U17" s="206">
        <f>N117</f>
        <v>125000</v>
      </c>
    </row>
    <row r="18" spans="1:22" x14ac:dyDescent="0.25">
      <c r="A18" s="248" t="s">
        <v>196</v>
      </c>
      <c r="B18" s="32">
        <f>B116+B118</f>
        <v>230000</v>
      </c>
      <c r="C18" s="32">
        <f t="shared" ref="C18:M18" si="5">C116+C118</f>
        <v>235749.99999999997</v>
      </c>
      <c r="D18" s="32">
        <f t="shared" si="5"/>
        <v>241643.74999999994</v>
      </c>
      <c r="E18" s="32">
        <f t="shared" si="5"/>
        <v>247684.84374999988</v>
      </c>
      <c r="F18" s="32">
        <f t="shared" si="5"/>
        <v>55190.644531249971</v>
      </c>
      <c r="G18" s="32">
        <f t="shared" si="5"/>
        <v>0</v>
      </c>
      <c r="H18" s="32">
        <f t="shared" si="5"/>
        <v>0</v>
      </c>
      <c r="I18" s="32">
        <f t="shared" si="5"/>
        <v>0</v>
      </c>
      <c r="J18" s="32">
        <f t="shared" si="5"/>
        <v>0</v>
      </c>
      <c r="K18" s="32">
        <f t="shared" si="5"/>
        <v>0</v>
      </c>
      <c r="L18" s="32">
        <f t="shared" si="5"/>
        <v>0</v>
      </c>
      <c r="M18" s="32">
        <f t="shared" si="5"/>
        <v>0</v>
      </c>
      <c r="N18" s="34">
        <f t="shared" ref="N18:N21" si="6">SUM(B18:M18)</f>
        <v>1010269.2382812499</v>
      </c>
      <c r="P18" s="38" t="s">
        <v>469</v>
      </c>
      <c r="Q18" s="249" t="s">
        <v>446</v>
      </c>
      <c r="R18" s="1" t="s">
        <v>356</v>
      </c>
      <c r="S18" s="44"/>
      <c r="T18" s="67">
        <f>IF(S18&gt;0,U18/S18,U18)</f>
        <v>-6721.9064717597794</v>
      </c>
      <c r="U18" s="206">
        <f>N100+(N109-U15)</f>
        <v>-6721.9064717597794</v>
      </c>
      <c r="V18" s="263" t="s">
        <v>456</v>
      </c>
    </row>
    <row r="19" spans="1:22" x14ac:dyDescent="0.25">
      <c r="A19" s="248" t="s">
        <v>152</v>
      </c>
      <c r="B19" s="32">
        <f>B117</f>
        <v>65000</v>
      </c>
      <c r="C19" s="32">
        <f t="shared" ref="C19:M19" si="7">C117</f>
        <v>15000</v>
      </c>
      <c r="D19" s="32">
        <f t="shared" si="7"/>
        <v>15000</v>
      </c>
      <c r="E19" s="32">
        <f t="shared" si="7"/>
        <v>15000</v>
      </c>
      <c r="F19" s="32">
        <f t="shared" si="7"/>
        <v>15000</v>
      </c>
      <c r="G19" s="32">
        <f t="shared" si="7"/>
        <v>0</v>
      </c>
      <c r="H19" s="32">
        <f t="shared" si="7"/>
        <v>0</v>
      </c>
      <c r="I19" s="32">
        <f t="shared" si="7"/>
        <v>0</v>
      </c>
      <c r="J19" s="32">
        <f t="shared" si="7"/>
        <v>0</v>
      </c>
      <c r="K19" s="32">
        <f t="shared" si="7"/>
        <v>0</v>
      </c>
      <c r="L19" s="32">
        <f t="shared" si="7"/>
        <v>0</v>
      </c>
      <c r="M19" s="32">
        <f t="shared" si="7"/>
        <v>0</v>
      </c>
      <c r="N19" s="34">
        <f t="shared" si="6"/>
        <v>125000</v>
      </c>
      <c r="P19" s="38" t="s">
        <v>470</v>
      </c>
      <c r="Q19" s="249" t="s">
        <v>447</v>
      </c>
      <c r="R19" s="1" t="s">
        <v>356</v>
      </c>
      <c r="S19" s="44"/>
      <c r="T19" s="67">
        <f t="shared" ref="T19:T24" si="8">IF(S19&gt;0,U19/S19,U19)</f>
        <v>5393359.4342790348</v>
      </c>
      <c r="U19" s="206">
        <f>N101</f>
        <v>5393359.4342790348</v>
      </c>
    </row>
    <row r="20" spans="1:22" x14ac:dyDescent="0.25">
      <c r="A20" s="248" t="s">
        <v>154</v>
      </c>
      <c r="B20" s="32">
        <f>B114</f>
        <v>115000</v>
      </c>
      <c r="C20" s="32">
        <f t="shared" ref="C20:M20" si="9">C114</f>
        <v>117874.99999999999</v>
      </c>
      <c r="D20" s="32">
        <f t="shared" si="9"/>
        <v>120821.87499999997</v>
      </c>
      <c r="E20" s="32">
        <f t="shared" si="9"/>
        <v>123842.42187499996</v>
      </c>
      <c r="F20" s="32">
        <f t="shared" si="9"/>
        <v>126938.48242187494</v>
      </c>
      <c r="G20" s="32">
        <f t="shared" si="9"/>
        <v>0</v>
      </c>
      <c r="H20" s="32">
        <f t="shared" si="9"/>
        <v>0</v>
      </c>
      <c r="I20" s="32">
        <f t="shared" si="9"/>
        <v>0</v>
      </c>
      <c r="J20" s="32">
        <f t="shared" si="9"/>
        <v>0</v>
      </c>
      <c r="K20" s="32">
        <f t="shared" si="9"/>
        <v>0</v>
      </c>
      <c r="L20" s="32">
        <f t="shared" si="9"/>
        <v>0</v>
      </c>
      <c r="M20" s="32">
        <f t="shared" si="9"/>
        <v>0</v>
      </c>
      <c r="N20" s="34">
        <f t="shared" si="6"/>
        <v>604477.77929687488</v>
      </c>
      <c r="P20" s="38" t="s">
        <v>471</v>
      </c>
      <c r="Q20" s="249" t="s">
        <v>459</v>
      </c>
      <c r="R20" s="1" t="s">
        <v>356</v>
      </c>
      <c r="S20" s="44"/>
      <c r="T20" s="67">
        <f t="shared" si="8"/>
        <v>3696983.1068940829</v>
      </c>
      <c r="U20" s="206">
        <f>N102</f>
        <v>3696983.1068940829</v>
      </c>
    </row>
    <row r="21" spans="1:22" x14ac:dyDescent="0.25">
      <c r="A21" s="24" t="s">
        <v>153</v>
      </c>
      <c r="B21" s="32">
        <f>B115+B119</f>
        <v>50000</v>
      </c>
      <c r="C21" s="32">
        <f t="shared" ref="C21:M21" si="10">C115+C119</f>
        <v>51249.999999999993</v>
      </c>
      <c r="D21" s="32">
        <f t="shared" si="10"/>
        <v>52531.249999999985</v>
      </c>
      <c r="E21" s="32">
        <f t="shared" si="10"/>
        <v>53844.531249999978</v>
      </c>
      <c r="F21" s="32">
        <f t="shared" si="10"/>
        <v>55190.644531249971</v>
      </c>
      <c r="G21" s="32">
        <f t="shared" si="10"/>
        <v>0</v>
      </c>
      <c r="H21" s="32">
        <f t="shared" si="10"/>
        <v>0</v>
      </c>
      <c r="I21" s="32">
        <f t="shared" si="10"/>
        <v>0</v>
      </c>
      <c r="J21" s="32">
        <f t="shared" si="10"/>
        <v>0</v>
      </c>
      <c r="K21" s="32">
        <f t="shared" si="10"/>
        <v>0</v>
      </c>
      <c r="L21" s="32">
        <f t="shared" si="10"/>
        <v>0</v>
      </c>
      <c r="M21" s="32">
        <f t="shared" si="10"/>
        <v>0</v>
      </c>
      <c r="N21" s="34">
        <f t="shared" si="6"/>
        <v>262816.42578124994</v>
      </c>
      <c r="P21" s="266" t="s">
        <v>472</v>
      </c>
      <c r="Q21" s="249" t="s">
        <v>466</v>
      </c>
      <c r="R21" s="249" t="s">
        <v>356</v>
      </c>
      <c r="S21" s="267">
        <v>-1</v>
      </c>
      <c r="T21" s="67">
        <f>-U21</f>
        <v>583724.22281332209</v>
      </c>
      <c r="U21" s="206">
        <f>-N108</f>
        <v>-583724.22281332209</v>
      </c>
    </row>
    <row r="22" spans="1:22" ht="15.75" thickBot="1" x14ac:dyDescent="0.3">
      <c r="A22" s="26" t="s">
        <v>79</v>
      </c>
      <c r="B22" s="33">
        <f t="shared" ref="B22:N22" si="11">SUM(B15:B21)</f>
        <v>1754554.5595263885</v>
      </c>
      <c r="C22" s="33">
        <f t="shared" si="11"/>
        <v>1884227.4003121802</v>
      </c>
      <c r="D22" s="33">
        <f t="shared" si="11"/>
        <v>4316570.8301428827</v>
      </c>
      <c r="E22" s="33">
        <f t="shared" si="11"/>
        <v>3202218.9112589778</v>
      </c>
      <c r="F22" s="33">
        <f t="shared" si="11"/>
        <v>1852457.1768203033</v>
      </c>
      <c r="G22" s="33">
        <f t="shared" si="11"/>
        <v>0</v>
      </c>
      <c r="H22" s="33">
        <f t="shared" si="11"/>
        <v>0</v>
      </c>
      <c r="I22" s="33">
        <f t="shared" si="11"/>
        <v>0</v>
      </c>
      <c r="J22" s="33">
        <f t="shared" si="11"/>
        <v>0</v>
      </c>
      <c r="K22" s="33">
        <f t="shared" si="11"/>
        <v>0</v>
      </c>
      <c r="L22" s="33">
        <f t="shared" si="11"/>
        <v>0</v>
      </c>
      <c r="M22" s="33">
        <f t="shared" si="11"/>
        <v>0</v>
      </c>
      <c r="N22" s="35">
        <f t="shared" si="11"/>
        <v>13010028.878060732</v>
      </c>
      <c r="P22" s="266" t="s">
        <v>473</v>
      </c>
      <c r="Q22" s="249" t="s">
        <v>467</v>
      </c>
      <c r="R22" s="249" t="s">
        <v>356</v>
      </c>
      <c r="S22" s="267">
        <v>1</v>
      </c>
      <c r="T22" s="67">
        <f>U22</f>
        <v>583724.22281332209</v>
      </c>
      <c r="U22" s="206">
        <f>N108</f>
        <v>583724.22281332209</v>
      </c>
    </row>
    <row r="23" spans="1:22" ht="15.75" thickBot="1" x14ac:dyDescent="0.3">
      <c r="P23" s="38" t="s">
        <v>357</v>
      </c>
      <c r="Q23" s="1" t="s">
        <v>358</v>
      </c>
      <c r="R23" s="1" t="s">
        <v>356</v>
      </c>
      <c r="S23" s="44"/>
      <c r="T23" s="67">
        <f t="shared" si="8"/>
        <v>262816.42578124994</v>
      </c>
      <c r="U23" s="206">
        <f>N115+N119</f>
        <v>262816.42578124994</v>
      </c>
    </row>
    <row r="24" spans="1:22" x14ac:dyDescent="0.25">
      <c r="A24" s="330" t="s">
        <v>507</v>
      </c>
      <c r="B24" s="331"/>
      <c r="C24" s="285"/>
      <c r="D24" s="285"/>
      <c r="E24" s="204"/>
      <c r="F24" s="204"/>
      <c r="G24" s="204"/>
      <c r="H24" s="204"/>
      <c r="I24" s="204"/>
      <c r="J24" s="204"/>
      <c r="K24" s="204"/>
      <c r="L24" s="204"/>
      <c r="M24" s="204"/>
      <c r="N24" s="205"/>
      <c r="P24" s="38" t="s">
        <v>359</v>
      </c>
      <c r="Q24" s="1" t="s">
        <v>360</v>
      </c>
      <c r="R24" s="1" t="s">
        <v>356</v>
      </c>
      <c r="S24" s="44"/>
      <c r="T24" s="67">
        <f t="shared" si="8"/>
        <v>604477.77929687488</v>
      </c>
      <c r="U24" s="206">
        <f>N114</f>
        <v>604477.77929687488</v>
      </c>
    </row>
    <row r="25" spans="1:22" x14ac:dyDescent="0.25">
      <c r="A25" s="42"/>
      <c r="B25" s="40">
        <f>YEAR('1. Prosjektinfo'!B6)</f>
        <v>2019</v>
      </c>
      <c r="C25" s="40">
        <f>B25+1</f>
        <v>2020</v>
      </c>
      <c r="D25" s="40">
        <f t="shared" ref="D25:K25" si="12">C25+1</f>
        <v>2021</v>
      </c>
      <c r="E25" s="40">
        <f t="shared" si="12"/>
        <v>2022</v>
      </c>
      <c r="F25" s="40">
        <f t="shared" si="12"/>
        <v>2023</v>
      </c>
      <c r="G25" s="40">
        <f t="shared" si="12"/>
        <v>2024</v>
      </c>
      <c r="H25" s="40">
        <f t="shared" si="12"/>
        <v>2025</v>
      </c>
      <c r="I25" s="40">
        <f t="shared" si="12"/>
        <v>2026</v>
      </c>
      <c r="J25" s="40">
        <f t="shared" si="12"/>
        <v>2027</v>
      </c>
      <c r="K25" s="40">
        <f t="shared" si="12"/>
        <v>2028</v>
      </c>
      <c r="L25" s="40">
        <f t="shared" ref="L25" si="13">K25+1</f>
        <v>2029</v>
      </c>
      <c r="M25" s="40">
        <f t="shared" ref="M25" si="14">L25+1</f>
        <v>2030</v>
      </c>
      <c r="N25" s="43" t="s">
        <v>79</v>
      </c>
      <c r="O25" s="94"/>
      <c r="P25" s="38"/>
      <c r="Q25" s="131" t="s">
        <v>361</v>
      </c>
      <c r="R25" s="131"/>
      <c r="S25" s="131"/>
      <c r="T25" s="211"/>
      <c r="U25" s="206">
        <f>SUM(U15:U24)</f>
        <v>13010028.878060732</v>
      </c>
    </row>
    <row r="26" spans="1:22" x14ac:dyDescent="0.25">
      <c r="A26" s="200" t="s">
        <v>395</v>
      </c>
      <c r="B26" s="201">
        <f>VLOOKUP(B25,Oppslag!$BC:$BD,2,FALSE)*'2. Budsjettering - Direkte lønn'!D66</f>
        <v>1095000</v>
      </c>
      <c r="C26" s="201">
        <f>VLOOKUP(C25,Oppslag!$BC:$BD,2,FALSE)*'2. Budsjettering - Direkte lønn'!E66</f>
        <v>1125000</v>
      </c>
      <c r="D26" s="201">
        <f>VLOOKUP(D25,Oppslag!$BC:$BD,2,FALSE)*'2. Budsjettering - Direkte lønn'!F66</f>
        <v>3468000</v>
      </c>
      <c r="E26" s="201">
        <f>VLOOKUP(E25,Oppslag!$BC:$BD,2,FALSE)*'2. Budsjettering - Direkte lønn'!G66</f>
        <v>2374000</v>
      </c>
      <c r="F26" s="201">
        <f>VLOOKUP(F25,Oppslag!$BC:$BD,2,FALSE)*'2. Budsjettering - Direkte lønn'!H66</f>
        <v>1222000</v>
      </c>
      <c r="G26" s="201">
        <f>VLOOKUP(G25,Oppslag!$BC:$BD,2,FALSE)*'2. Budsjettering - Direkte lønn'!I66</f>
        <v>0</v>
      </c>
      <c r="H26" s="201">
        <f>VLOOKUP(H25,Oppslag!$BC:$BD,2,FALSE)*'2. Budsjettering - Direkte lønn'!J66</f>
        <v>0</v>
      </c>
      <c r="I26" s="201">
        <f>VLOOKUP(I25,Oppslag!$BC:$BD,2,FALSE)*'2. Budsjettering - Direkte lønn'!K66</f>
        <v>0</v>
      </c>
      <c r="J26" s="201">
        <f>VLOOKUP(J25,Oppslag!$BC:$BD,2,FALSE)*'2. Budsjettering - Direkte lønn'!L66</f>
        <v>0</v>
      </c>
      <c r="K26" s="201">
        <f>VLOOKUP(K25,Oppslag!$BC:$BD,2,FALSE)*'2. Budsjettering - Direkte lønn'!M66</f>
        <v>0</v>
      </c>
      <c r="L26" s="201">
        <f>VLOOKUP(L25,Oppslag!$BC:$BD,2,FALSE)*'2. Budsjettering - Direkte lønn'!N66</f>
        <v>0</v>
      </c>
      <c r="M26" s="201">
        <f>VLOOKUP(M25,Oppslag!$BC:$BD,2,FALSE)*'2. Budsjettering - Direkte lønn'!O66</f>
        <v>0</v>
      </c>
      <c r="N26" s="34">
        <f>SUM(B26:M26)</f>
        <v>9284000</v>
      </c>
      <c r="O26" s="94"/>
      <c r="P26" s="38"/>
      <c r="Q26" s="1"/>
      <c r="R26" s="1"/>
      <c r="S26" s="1"/>
      <c r="T26" s="1"/>
      <c r="U26" s="60"/>
    </row>
    <row r="27" spans="1:22" x14ac:dyDescent="0.25">
      <c r="A27" s="200" t="s">
        <v>396</v>
      </c>
      <c r="B27" s="165">
        <v>143200</v>
      </c>
      <c r="C27" s="165">
        <f>$B$27</f>
        <v>143200</v>
      </c>
      <c r="D27" s="165">
        <f t="shared" ref="D27:F27" si="15">$B$27</f>
        <v>143200</v>
      </c>
      <c r="E27" s="165">
        <f t="shared" si="15"/>
        <v>143200</v>
      </c>
      <c r="F27" s="165">
        <f t="shared" si="15"/>
        <v>143200</v>
      </c>
      <c r="G27" s="44"/>
      <c r="H27" s="44"/>
      <c r="I27" s="44"/>
      <c r="J27" s="44"/>
      <c r="K27" s="44"/>
      <c r="L27" s="44"/>
      <c r="M27" s="44"/>
      <c r="N27" s="34">
        <f>SUM(B27:M27)</f>
        <v>716000</v>
      </c>
      <c r="O27" s="94"/>
      <c r="P27" s="164">
        <v>9063</v>
      </c>
      <c r="Q27" s="1" t="s">
        <v>362</v>
      </c>
      <c r="R27" s="1" t="s">
        <v>356</v>
      </c>
      <c r="S27" s="1"/>
      <c r="T27" s="1"/>
      <c r="U27" s="257">
        <f>U25*ROUND(E36,2)</f>
        <v>2471905.4868315393</v>
      </c>
    </row>
    <row r="28" spans="1:22" x14ac:dyDescent="0.25">
      <c r="A28" s="45" t="s">
        <v>160</v>
      </c>
      <c r="B28" s="165"/>
      <c r="C28" s="165"/>
      <c r="D28" s="165"/>
      <c r="E28" s="165"/>
      <c r="F28" s="165"/>
      <c r="G28" s="44"/>
      <c r="H28" s="44"/>
      <c r="I28" s="44"/>
      <c r="J28" s="44"/>
      <c r="K28" s="44"/>
      <c r="L28" s="44"/>
      <c r="M28" s="44"/>
      <c r="N28" s="34">
        <f>SUM(B28:M28)</f>
        <v>0</v>
      </c>
      <c r="P28" s="38"/>
      <c r="Q28" s="1"/>
      <c r="R28" s="1"/>
      <c r="S28" s="1"/>
      <c r="T28" s="1"/>
      <c r="U28" s="60"/>
    </row>
    <row r="29" spans="1:22" x14ac:dyDescent="0.25">
      <c r="A29" s="45" t="s">
        <v>161</v>
      </c>
      <c r="B29" s="165"/>
      <c r="C29" s="165"/>
      <c r="D29" s="165"/>
      <c r="E29" s="165"/>
      <c r="F29" s="165"/>
      <c r="G29" s="44"/>
      <c r="H29" s="44"/>
      <c r="I29" s="44"/>
      <c r="J29" s="44"/>
      <c r="K29" s="44"/>
      <c r="L29" s="44"/>
      <c r="M29" s="44"/>
      <c r="N29" s="34">
        <f>SUM(B29:M29)</f>
        <v>0</v>
      </c>
      <c r="P29" s="268" t="str">
        <f>IF(E36&gt;0,"Maconomy vil vise feil egenfinansiering pga. avrunding - nøyaktig egenfinansiering er "," ")</f>
        <v xml:space="preserve">Maconomy vil vise feil egenfinansiering pga. avrunding - nøyaktig egenfinansiering er </v>
      </c>
      <c r="U29" s="239">
        <f>IF(E36&gt;0,ROUND(N33,0),"")</f>
        <v>2510029</v>
      </c>
    </row>
    <row r="30" spans="1:22" x14ac:dyDescent="0.25">
      <c r="A30" s="24" t="s">
        <v>162</v>
      </c>
      <c r="B30" s="39">
        <f>SUM(B26:B29)</f>
        <v>1238200</v>
      </c>
      <c r="C30" s="39">
        <f t="shared" ref="C30:K30" si="16">SUM(C26:C29)</f>
        <v>1268200</v>
      </c>
      <c r="D30" s="39">
        <f t="shared" si="16"/>
        <v>3611200</v>
      </c>
      <c r="E30" s="39">
        <f t="shared" si="16"/>
        <v>2517200</v>
      </c>
      <c r="F30" s="39">
        <f t="shared" si="16"/>
        <v>1365200</v>
      </c>
      <c r="G30" s="39">
        <f t="shared" si="16"/>
        <v>0</v>
      </c>
      <c r="H30" s="39">
        <f t="shared" si="16"/>
        <v>0</v>
      </c>
      <c r="I30" s="39">
        <f t="shared" si="16"/>
        <v>0</v>
      </c>
      <c r="J30" s="39">
        <f t="shared" si="16"/>
        <v>0</v>
      </c>
      <c r="K30" s="39">
        <f t="shared" si="16"/>
        <v>0</v>
      </c>
      <c r="L30" s="39">
        <f t="shared" ref="L30:M30" si="17">SUM(L26:L29)</f>
        <v>0</v>
      </c>
      <c r="M30" s="39">
        <f t="shared" si="17"/>
        <v>0</v>
      </c>
      <c r="N30" s="34">
        <f>SUM(B30:M30)</f>
        <v>10000000</v>
      </c>
      <c r="P30" s="38"/>
      <c r="U30" s="60"/>
    </row>
    <row r="31" spans="1:22" ht="15.75" thickBot="1" x14ac:dyDescent="0.3">
      <c r="A31" s="24"/>
      <c r="B31" s="32"/>
      <c r="C31" s="32"/>
      <c r="D31" s="32"/>
      <c r="E31" s="32"/>
      <c r="F31" s="32"/>
      <c r="G31" s="32"/>
      <c r="H31" s="32"/>
      <c r="I31" s="32"/>
      <c r="J31" s="32"/>
      <c r="K31" s="32"/>
      <c r="L31" s="32"/>
      <c r="M31" s="32"/>
      <c r="N31" s="34"/>
      <c r="P31" s="61"/>
      <c r="Q31" s="62"/>
      <c r="R31" s="62"/>
      <c r="S31" s="62"/>
      <c r="T31" s="62"/>
      <c r="U31" s="63"/>
    </row>
    <row r="32" spans="1:22" x14ac:dyDescent="0.25">
      <c r="A32" s="45" t="s">
        <v>163</v>
      </c>
      <c r="B32" s="44">
        <v>100000</v>
      </c>
      <c r="C32" s="44">
        <f>$B$32</f>
        <v>100000</v>
      </c>
      <c r="D32" s="44">
        <f t="shared" ref="D32:F32" si="18">$B$32</f>
        <v>100000</v>
      </c>
      <c r="E32" s="44">
        <f t="shared" si="18"/>
        <v>100000</v>
      </c>
      <c r="F32" s="44">
        <f t="shared" si="18"/>
        <v>100000</v>
      </c>
      <c r="G32" s="44"/>
      <c r="H32" s="44"/>
      <c r="I32" s="44"/>
      <c r="J32" s="44"/>
      <c r="K32" s="44"/>
      <c r="L32" s="44"/>
      <c r="M32" s="44"/>
      <c r="N32" s="34">
        <f>SUM(B32:M32)</f>
        <v>500000</v>
      </c>
    </row>
    <row r="33" spans="1:23" x14ac:dyDescent="0.25">
      <c r="A33" s="24" t="s">
        <v>164</v>
      </c>
      <c r="B33" s="32">
        <f t="shared" ref="B33:K33" si="19">B22-B30-B32</f>
        <v>416354.55952638853</v>
      </c>
      <c r="C33" s="32">
        <f t="shared" si="19"/>
        <v>516027.40031218017</v>
      </c>
      <c r="D33" s="32">
        <f t="shared" si="19"/>
        <v>605370.83014288265</v>
      </c>
      <c r="E33" s="32">
        <f t="shared" si="19"/>
        <v>585018.91125897784</v>
      </c>
      <c r="F33" s="32">
        <f t="shared" si="19"/>
        <v>387257.17682030331</v>
      </c>
      <c r="G33" s="32">
        <f t="shared" si="19"/>
        <v>0</v>
      </c>
      <c r="H33" s="32">
        <f t="shared" si="19"/>
        <v>0</v>
      </c>
      <c r="I33" s="32">
        <f t="shared" si="19"/>
        <v>0</v>
      </c>
      <c r="J33" s="32">
        <f t="shared" si="19"/>
        <v>0</v>
      </c>
      <c r="K33" s="32">
        <f t="shared" si="19"/>
        <v>0</v>
      </c>
      <c r="L33" s="32">
        <f t="shared" ref="L33:M33" si="20">L22-L30-L32</f>
        <v>0</v>
      </c>
      <c r="M33" s="32">
        <f t="shared" si="20"/>
        <v>0</v>
      </c>
      <c r="N33" s="34">
        <f>SUM(B33:M33)</f>
        <v>2510028.8780607325</v>
      </c>
    </row>
    <row r="34" spans="1:23" ht="15.75" thickBot="1" x14ac:dyDescent="0.3">
      <c r="A34" s="26" t="s">
        <v>79</v>
      </c>
      <c r="B34" s="33">
        <f>SUM(B30:B33)</f>
        <v>1754554.5595263885</v>
      </c>
      <c r="C34" s="33">
        <f t="shared" ref="C34:K34" si="21">SUM(C30:C33)</f>
        <v>1884227.4003121802</v>
      </c>
      <c r="D34" s="33">
        <f t="shared" si="21"/>
        <v>4316570.8301428827</v>
      </c>
      <c r="E34" s="33">
        <f t="shared" si="21"/>
        <v>3202218.9112589778</v>
      </c>
      <c r="F34" s="33">
        <f t="shared" si="21"/>
        <v>1852457.1768203033</v>
      </c>
      <c r="G34" s="33">
        <f t="shared" si="21"/>
        <v>0</v>
      </c>
      <c r="H34" s="33">
        <f t="shared" si="21"/>
        <v>0</v>
      </c>
      <c r="I34" s="33">
        <f t="shared" si="21"/>
        <v>0</v>
      </c>
      <c r="J34" s="33">
        <f t="shared" si="21"/>
        <v>0</v>
      </c>
      <c r="K34" s="33">
        <f t="shared" si="21"/>
        <v>0</v>
      </c>
      <c r="L34" s="33">
        <f t="shared" ref="L34:M34" si="22">SUM(L30:L33)</f>
        <v>0</v>
      </c>
      <c r="M34" s="33">
        <f t="shared" si="22"/>
        <v>0</v>
      </c>
      <c r="N34" s="35">
        <f>SUM(B34:M34)</f>
        <v>13010028.878060732</v>
      </c>
    </row>
    <row r="36" spans="1:23" ht="23.25" x14ac:dyDescent="0.35">
      <c r="A36" s="47" t="s">
        <v>506</v>
      </c>
      <c r="B36" s="48"/>
      <c r="C36" s="46"/>
      <c r="D36" s="46"/>
      <c r="E36" s="49">
        <f>(('2. Budsjettering - Direkte lønn'!P59+'3. Budsjettering - Timer'!P60+'4. Budsjettering -Drift'!P62)-N30-N32)/('2. Budsjettering - Direkte lønn'!P59+'3. Budsjettering - Timer'!P60+'4. Budsjettering -Drift'!P62)</f>
        <v>0.19293030796368818</v>
      </c>
    </row>
    <row r="37" spans="1:23" ht="15.75" thickBot="1" x14ac:dyDescent="0.3"/>
    <row r="38" spans="1:23" ht="20.25" x14ac:dyDescent="0.3">
      <c r="A38" s="51" t="s">
        <v>165</v>
      </c>
      <c r="B38" s="52">
        <f>YEAR('1. Prosjektinfo'!B6)</f>
        <v>2019</v>
      </c>
      <c r="C38" s="52">
        <f>B38+1</f>
        <v>2020</v>
      </c>
      <c r="D38" s="52">
        <f t="shared" ref="D38:K38" si="23">C38+1</f>
        <v>2021</v>
      </c>
      <c r="E38" s="52">
        <f t="shared" si="23"/>
        <v>2022</v>
      </c>
      <c r="F38" s="52">
        <f t="shared" si="23"/>
        <v>2023</v>
      </c>
      <c r="G38" s="52">
        <f t="shared" si="23"/>
        <v>2024</v>
      </c>
      <c r="H38" s="52">
        <f t="shared" si="23"/>
        <v>2025</v>
      </c>
      <c r="I38" s="52">
        <f t="shared" si="23"/>
        <v>2026</v>
      </c>
      <c r="J38" s="52">
        <f t="shared" si="23"/>
        <v>2027</v>
      </c>
      <c r="K38" s="52">
        <f t="shared" si="23"/>
        <v>2028</v>
      </c>
      <c r="L38" s="52">
        <f t="shared" ref="L38" si="24">K38+1</f>
        <v>2029</v>
      </c>
      <c r="M38" s="52">
        <f t="shared" ref="M38" si="25">L38+1</f>
        <v>2030</v>
      </c>
      <c r="N38" s="53" t="s">
        <v>79</v>
      </c>
      <c r="P38" t="s">
        <v>533</v>
      </c>
      <c r="V38" s="295" t="s">
        <v>542</v>
      </c>
      <c r="W38" s="295" t="s">
        <v>543</v>
      </c>
    </row>
    <row r="39" spans="1:23" x14ac:dyDescent="0.25">
      <c r="A39" s="50" t="s">
        <v>203</v>
      </c>
      <c r="B39" s="129">
        <f>B30+B32</f>
        <v>1338200</v>
      </c>
      <c r="C39" s="129">
        <f t="shared" ref="C39:K39" si="26">C30+C32</f>
        <v>1368200</v>
      </c>
      <c r="D39" s="129">
        <f t="shared" si="26"/>
        <v>3711200</v>
      </c>
      <c r="E39" s="129">
        <f t="shared" si="26"/>
        <v>2617200</v>
      </c>
      <c r="F39" s="129">
        <f t="shared" si="26"/>
        <v>1465200</v>
      </c>
      <c r="G39" s="129">
        <f t="shared" si="26"/>
        <v>0</v>
      </c>
      <c r="H39" s="129">
        <f t="shared" si="26"/>
        <v>0</v>
      </c>
      <c r="I39" s="129">
        <f t="shared" si="26"/>
        <v>0</v>
      </c>
      <c r="J39" s="129">
        <f t="shared" si="26"/>
        <v>0</v>
      </c>
      <c r="K39" s="129">
        <f t="shared" si="26"/>
        <v>0</v>
      </c>
      <c r="L39" s="129">
        <f t="shared" ref="L39:M39" si="27">L30+L32</f>
        <v>0</v>
      </c>
      <c r="M39" s="129">
        <f t="shared" si="27"/>
        <v>0</v>
      </c>
      <c r="N39" s="130">
        <f>SUM(B39:M39)</f>
        <v>10500000</v>
      </c>
      <c r="P39" s="170">
        <v>10000000</v>
      </c>
      <c r="V39" s="296">
        <v>1</v>
      </c>
      <c r="W39" s="297">
        <v>841855</v>
      </c>
    </row>
    <row r="40" spans="1:23" x14ac:dyDescent="0.25">
      <c r="A40" s="50" t="s">
        <v>439</v>
      </c>
      <c r="B40" s="129">
        <f>B101</f>
        <v>615904.88861192309</v>
      </c>
      <c r="C40" s="129">
        <f t="shared" ref="C40:M40" si="28">C101</f>
        <v>634382.03527028079</v>
      </c>
      <c r="D40" s="129">
        <f t="shared" si="28"/>
        <v>2030976.37111344</v>
      </c>
      <c r="E40" s="129">
        <f t="shared" si="28"/>
        <v>1418889.7610286027</v>
      </c>
      <c r="F40" s="129">
        <f t="shared" si="28"/>
        <v>693206.37825478835</v>
      </c>
      <c r="G40" s="129">
        <f t="shared" si="28"/>
        <v>0</v>
      </c>
      <c r="H40" s="129">
        <f t="shared" si="28"/>
        <v>0</v>
      </c>
      <c r="I40" s="129">
        <f t="shared" si="28"/>
        <v>0</v>
      </c>
      <c r="J40" s="129">
        <f t="shared" si="28"/>
        <v>0</v>
      </c>
      <c r="K40" s="129">
        <f t="shared" si="28"/>
        <v>0</v>
      </c>
      <c r="L40" s="129">
        <f t="shared" si="28"/>
        <v>0</v>
      </c>
      <c r="M40" s="129">
        <f t="shared" si="28"/>
        <v>0</v>
      </c>
      <c r="N40" s="130">
        <f>SUM(B40:M40)</f>
        <v>5393359.4342790348</v>
      </c>
      <c r="V40" s="295">
        <v>2</v>
      </c>
      <c r="W40" s="298">
        <v>11877548</v>
      </c>
    </row>
    <row r="41" spans="1:23" x14ac:dyDescent="0.25">
      <c r="A41" s="50" t="s">
        <v>205</v>
      </c>
      <c r="B41" s="129">
        <f>B114+B116+B117+B119</f>
        <v>230000</v>
      </c>
      <c r="C41" s="129">
        <f t="shared" ref="C41:M41" si="29">C114+C116+C117+C119</f>
        <v>184125</v>
      </c>
      <c r="D41" s="129">
        <f t="shared" si="29"/>
        <v>188353.12499999994</v>
      </c>
      <c r="E41" s="129">
        <f t="shared" si="29"/>
        <v>192686.95312499991</v>
      </c>
      <c r="F41" s="129">
        <f t="shared" si="29"/>
        <v>197129.12695312491</v>
      </c>
      <c r="G41" s="129">
        <f t="shared" si="29"/>
        <v>0</v>
      </c>
      <c r="H41" s="129">
        <f t="shared" si="29"/>
        <v>0</v>
      </c>
      <c r="I41" s="129">
        <f t="shared" si="29"/>
        <v>0</v>
      </c>
      <c r="J41" s="129">
        <f t="shared" si="29"/>
        <v>0</v>
      </c>
      <c r="K41" s="129">
        <f t="shared" si="29"/>
        <v>0</v>
      </c>
      <c r="L41" s="129">
        <f t="shared" si="29"/>
        <v>0</v>
      </c>
      <c r="M41" s="129">
        <f t="shared" si="29"/>
        <v>0</v>
      </c>
      <c r="N41" s="130">
        <f>SUM(B41:M41)</f>
        <v>992294.20507812477</v>
      </c>
      <c r="P41" t="s">
        <v>534</v>
      </c>
      <c r="V41" s="299" t="s">
        <v>186</v>
      </c>
      <c r="W41" s="300">
        <f>SUM(W39:W40)</f>
        <v>12719403</v>
      </c>
    </row>
    <row r="42" spans="1:23" ht="15.75" x14ac:dyDescent="0.25">
      <c r="A42" s="132" t="s">
        <v>204</v>
      </c>
      <c r="B42" s="134">
        <f t="shared" ref="B42:M42" si="30">B39-B40-B41</f>
        <v>492295.11138807691</v>
      </c>
      <c r="C42" s="134">
        <f t="shared" si="30"/>
        <v>549692.96472971921</v>
      </c>
      <c r="D42" s="134">
        <f t="shared" si="30"/>
        <v>1491870.50388656</v>
      </c>
      <c r="E42" s="134">
        <f t="shared" si="30"/>
        <v>1005623.2858463974</v>
      </c>
      <c r="F42" s="134">
        <f t="shared" si="30"/>
        <v>574864.49479208677</v>
      </c>
      <c r="G42" s="134">
        <f t="shared" si="30"/>
        <v>0</v>
      </c>
      <c r="H42" s="134">
        <f t="shared" si="30"/>
        <v>0</v>
      </c>
      <c r="I42" s="134">
        <f t="shared" si="30"/>
        <v>0</v>
      </c>
      <c r="J42" s="134">
        <f t="shared" si="30"/>
        <v>0</v>
      </c>
      <c r="K42" s="134">
        <f t="shared" si="30"/>
        <v>0</v>
      </c>
      <c r="L42" s="134">
        <f t="shared" si="30"/>
        <v>0</v>
      </c>
      <c r="M42" s="134">
        <f t="shared" si="30"/>
        <v>0</v>
      </c>
      <c r="N42" s="133">
        <f>SUM(B42:M42)</f>
        <v>4114346.3606428402</v>
      </c>
      <c r="P42" s="261">
        <f>P39-N26</f>
        <v>716000</v>
      </c>
    </row>
    <row r="43" spans="1:23" x14ac:dyDescent="0.25">
      <c r="A43" s="38"/>
      <c r="B43" s="1"/>
      <c r="C43" s="1"/>
      <c r="D43" s="1"/>
      <c r="E43" s="1"/>
      <c r="F43" s="1"/>
      <c r="G43" s="1"/>
      <c r="H43" s="1"/>
      <c r="I43" s="1"/>
      <c r="J43" s="1"/>
      <c r="K43" s="1"/>
      <c r="L43" s="1"/>
      <c r="M43" s="1"/>
      <c r="N43" s="60"/>
    </row>
    <row r="44" spans="1:23" x14ac:dyDescent="0.25">
      <c r="A44" s="135" t="s">
        <v>206</v>
      </c>
      <c r="B44" s="1"/>
      <c r="C44" s="1"/>
      <c r="D44" s="1"/>
      <c r="E44" s="1"/>
      <c r="F44" s="1"/>
      <c r="G44" s="1"/>
      <c r="H44" s="1"/>
      <c r="I44" s="1"/>
      <c r="J44" s="1"/>
      <c r="K44" s="1"/>
      <c r="L44" s="1"/>
      <c r="M44" s="1"/>
      <c r="N44" s="60"/>
      <c r="P44" t="s">
        <v>535</v>
      </c>
    </row>
    <row r="45" spans="1:23" x14ac:dyDescent="0.25">
      <c r="A45" s="136" t="s">
        <v>440</v>
      </c>
      <c r="B45" s="32">
        <f>B100+B107</f>
        <v>172716.6</v>
      </c>
      <c r="C45" s="32">
        <f t="shared" ref="C45:M45" si="31">C100+C107</f>
        <v>262410.83400000003</v>
      </c>
      <c r="D45" s="32">
        <f t="shared" si="31"/>
        <v>333136.17952000001</v>
      </c>
      <c r="E45" s="32">
        <f t="shared" si="31"/>
        <v>278391.65379060002</v>
      </c>
      <c r="F45" s="32">
        <f t="shared" si="31"/>
        <v>286743.40340431809</v>
      </c>
      <c r="G45" s="32">
        <f t="shared" si="31"/>
        <v>0</v>
      </c>
      <c r="H45" s="32">
        <f t="shared" si="31"/>
        <v>0</v>
      </c>
      <c r="I45" s="32">
        <f t="shared" si="31"/>
        <v>0</v>
      </c>
      <c r="J45" s="32">
        <f t="shared" si="31"/>
        <v>0</v>
      </c>
      <c r="K45" s="32">
        <f t="shared" si="31"/>
        <v>0</v>
      </c>
      <c r="L45" s="32">
        <f t="shared" si="31"/>
        <v>0</v>
      </c>
      <c r="M45" s="32">
        <f t="shared" si="31"/>
        <v>0</v>
      </c>
      <c r="N45" s="34">
        <f>SUM(B45:M45)</f>
        <v>1333398.6707149181</v>
      </c>
      <c r="P45">
        <f>COUNTA(B34:F34)</f>
        <v>5</v>
      </c>
    </row>
    <row r="46" spans="1:23" x14ac:dyDescent="0.25">
      <c r="A46" s="136" t="s">
        <v>441</v>
      </c>
      <c r="B46" s="32">
        <f>B95</f>
        <v>505933.07091446535</v>
      </c>
      <c r="C46" s="32">
        <f t="shared" ref="C46:M46" si="32">C95</f>
        <v>567559.53104189935</v>
      </c>
      <c r="D46" s="32">
        <f t="shared" si="32"/>
        <v>1522461.4045094429</v>
      </c>
      <c r="E46" s="32">
        <f t="shared" si="32"/>
        <v>1064565.6995647752</v>
      </c>
      <c r="F46" s="32">
        <f t="shared" si="32"/>
        <v>620187.62367682171</v>
      </c>
      <c r="G46" s="32">
        <f t="shared" si="32"/>
        <v>0</v>
      </c>
      <c r="H46" s="32">
        <f t="shared" si="32"/>
        <v>0</v>
      </c>
      <c r="I46" s="32">
        <f t="shared" si="32"/>
        <v>0</v>
      </c>
      <c r="J46" s="32">
        <f t="shared" si="32"/>
        <v>0</v>
      </c>
      <c r="K46" s="32">
        <f t="shared" si="32"/>
        <v>0</v>
      </c>
      <c r="L46" s="32">
        <f t="shared" si="32"/>
        <v>0</v>
      </c>
      <c r="M46" s="32">
        <f t="shared" si="32"/>
        <v>0</v>
      </c>
      <c r="N46" s="34">
        <f>SUM(B46:M46)</f>
        <v>4280707.3297074046</v>
      </c>
    </row>
    <row r="47" spans="1:23" x14ac:dyDescent="0.25">
      <c r="A47" s="136" t="s">
        <v>458</v>
      </c>
      <c r="B47" s="32">
        <f>B118</f>
        <v>230000</v>
      </c>
      <c r="C47" s="32">
        <f t="shared" ref="C47:M47" si="33">C118</f>
        <v>235749.99999999997</v>
      </c>
      <c r="D47" s="32">
        <f t="shared" si="33"/>
        <v>241643.74999999994</v>
      </c>
      <c r="E47" s="32">
        <f t="shared" si="33"/>
        <v>247684.84374999988</v>
      </c>
      <c r="F47" s="32">
        <f t="shared" si="33"/>
        <v>55190.644531249971</v>
      </c>
      <c r="G47" s="32">
        <f t="shared" si="33"/>
        <v>0</v>
      </c>
      <c r="H47" s="32">
        <f t="shared" si="33"/>
        <v>0</v>
      </c>
      <c r="I47" s="32">
        <f t="shared" si="33"/>
        <v>0</v>
      </c>
      <c r="J47" s="32">
        <f t="shared" si="33"/>
        <v>0</v>
      </c>
      <c r="K47" s="32">
        <f t="shared" si="33"/>
        <v>0</v>
      </c>
      <c r="L47" s="32">
        <f t="shared" si="33"/>
        <v>0</v>
      </c>
      <c r="M47" s="32">
        <f t="shared" si="33"/>
        <v>0</v>
      </c>
      <c r="N47" s="34">
        <f>SUM(B47:M47)</f>
        <v>1010269.2382812499</v>
      </c>
      <c r="P47" t="s">
        <v>536</v>
      </c>
      <c r="R47" s="261"/>
    </row>
    <row r="48" spans="1:23" x14ac:dyDescent="0.25">
      <c r="A48" s="137" t="s">
        <v>207</v>
      </c>
      <c r="B48" s="32">
        <f>SUM(B45:B47)</f>
        <v>908649.67091446533</v>
      </c>
      <c r="C48" s="32">
        <f t="shared" ref="C48:M48" si="34">SUM(C45:C47)</f>
        <v>1065720.3650418993</v>
      </c>
      <c r="D48" s="32">
        <f t="shared" si="34"/>
        <v>2097241.3340294426</v>
      </c>
      <c r="E48" s="32">
        <f t="shared" si="34"/>
        <v>1590642.1971053751</v>
      </c>
      <c r="F48" s="32">
        <f t="shared" si="34"/>
        <v>962121.67161238985</v>
      </c>
      <c r="G48" s="32">
        <f t="shared" si="34"/>
        <v>0</v>
      </c>
      <c r="H48" s="32">
        <f t="shared" si="34"/>
        <v>0</v>
      </c>
      <c r="I48" s="32">
        <f t="shared" si="34"/>
        <v>0</v>
      </c>
      <c r="J48" s="32">
        <f t="shared" si="34"/>
        <v>0</v>
      </c>
      <c r="K48" s="32">
        <f t="shared" si="34"/>
        <v>0</v>
      </c>
      <c r="L48" s="32">
        <f t="shared" si="34"/>
        <v>0</v>
      </c>
      <c r="M48" s="32">
        <f t="shared" si="34"/>
        <v>0</v>
      </c>
      <c r="N48" s="34">
        <f>SUM(B48:M48)</f>
        <v>6624375.2387035713</v>
      </c>
      <c r="P48" s="261">
        <f>P42/P45</f>
        <v>143200</v>
      </c>
    </row>
    <row r="49" spans="1:17" ht="16.5" thickBot="1" x14ac:dyDescent="0.3">
      <c r="A49" s="54" t="s">
        <v>208</v>
      </c>
      <c r="B49" s="55">
        <f>B42-B48</f>
        <v>-416354.55952638842</v>
      </c>
      <c r="C49" s="55">
        <f t="shared" ref="C49:K49" si="35">C42-C48</f>
        <v>-516027.40031218005</v>
      </c>
      <c r="D49" s="55">
        <f t="shared" si="35"/>
        <v>-605370.83014288265</v>
      </c>
      <c r="E49" s="55">
        <f t="shared" si="35"/>
        <v>-585018.91125897772</v>
      </c>
      <c r="F49" s="55">
        <f t="shared" si="35"/>
        <v>-387257.17682030308</v>
      </c>
      <c r="G49" s="55">
        <f t="shared" si="35"/>
        <v>0</v>
      </c>
      <c r="H49" s="55">
        <f t="shared" si="35"/>
        <v>0</v>
      </c>
      <c r="I49" s="55">
        <f t="shared" si="35"/>
        <v>0</v>
      </c>
      <c r="J49" s="55">
        <f t="shared" si="35"/>
        <v>0</v>
      </c>
      <c r="K49" s="55">
        <f t="shared" si="35"/>
        <v>0</v>
      </c>
      <c r="L49" s="55">
        <f t="shared" ref="L49:M49" si="36">L42-L48</f>
        <v>0</v>
      </c>
      <c r="M49" s="55">
        <f t="shared" si="36"/>
        <v>0</v>
      </c>
      <c r="N49" s="56">
        <f>SUM(B49:M49)</f>
        <v>-2510028.878060732</v>
      </c>
    </row>
    <row r="50" spans="1:17" x14ac:dyDescent="0.25">
      <c r="P50" t="s">
        <v>537</v>
      </c>
    </row>
    <row r="51" spans="1:17" x14ac:dyDescent="0.25">
      <c r="P51" s="170">
        <f>SUM('4. Budsjettering -Drift'!D14:D15)</f>
        <v>65000</v>
      </c>
      <c r="Q51" t="s">
        <v>538</v>
      </c>
    </row>
    <row r="52" spans="1:17" x14ac:dyDescent="0.25">
      <c r="P52" s="261">
        <f>P48-P51</f>
        <v>78200</v>
      </c>
      <c r="Q52" t="s">
        <v>539</v>
      </c>
    </row>
    <row r="53" spans="1:17" x14ac:dyDescent="0.25">
      <c r="P53" s="261">
        <f>P52/(COUNTA(C34:F34))</f>
        <v>19550</v>
      </c>
      <c r="Q53" t="s">
        <v>540</v>
      </c>
    </row>
    <row r="55" spans="1:17" x14ac:dyDescent="0.25">
      <c r="P55" t="s">
        <v>541</v>
      </c>
    </row>
    <row r="56" spans="1:17" x14ac:dyDescent="0.25">
      <c r="P56" t="str">
        <f>IF(P48&gt;P51,"Ja","Nei")</f>
        <v>Ja</v>
      </c>
    </row>
    <row r="57" spans="1:17" x14ac:dyDescent="0.25">
      <c r="P57" s="170">
        <f>IF(P56="Ja",P48,P51)</f>
        <v>143200</v>
      </c>
      <c r="Q57">
        <v>2019</v>
      </c>
    </row>
    <row r="58" spans="1:17" x14ac:dyDescent="0.25">
      <c r="P58" s="170">
        <f>IF($P$57=$P$48,$P$48,$P$53)</f>
        <v>143200</v>
      </c>
      <c r="Q58">
        <v>2020</v>
      </c>
    </row>
    <row r="59" spans="1:17" x14ac:dyDescent="0.25">
      <c r="P59" s="170">
        <f t="shared" ref="P59:P61" si="37">IF($P$57=$P$48,$P$48,$P$53)</f>
        <v>143200</v>
      </c>
      <c r="Q59">
        <v>2021</v>
      </c>
    </row>
    <row r="60" spans="1:17" x14ac:dyDescent="0.25">
      <c r="P60" s="170">
        <f t="shared" si="37"/>
        <v>143200</v>
      </c>
      <c r="Q60">
        <v>2022</v>
      </c>
    </row>
    <row r="61" spans="1:17" x14ac:dyDescent="0.25">
      <c r="P61" s="170">
        <f t="shared" si="37"/>
        <v>143200</v>
      </c>
      <c r="Q61">
        <v>2023</v>
      </c>
    </row>
    <row r="90" spans="1:14" ht="15.75" thickBot="1" x14ac:dyDescent="0.3"/>
    <row r="91" spans="1:14" x14ac:dyDescent="0.25">
      <c r="A91" s="337" t="s">
        <v>452</v>
      </c>
      <c r="B91" s="338"/>
      <c r="C91" s="338"/>
      <c r="D91" s="338"/>
      <c r="E91" s="338"/>
      <c r="F91" s="338"/>
      <c r="G91" s="338"/>
      <c r="H91" s="338"/>
      <c r="I91" s="338"/>
      <c r="J91" s="338"/>
      <c r="K91" s="338"/>
      <c r="L91" s="338"/>
      <c r="M91" s="338"/>
      <c r="N91" s="339"/>
    </row>
    <row r="92" spans="1:14" x14ac:dyDescent="0.25">
      <c r="A92" s="24"/>
      <c r="B92" s="41">
        <f>'2. Budsjettering - Direkte lønn'!D55</f>
        <v>2019</v>
      </c>
      <c r="C92" s="41">
        <f>'2. Budsjettering - Direkte lønn'!E55</f>
        <v>2020</v>
      </c>
      <c r="D92" s="41">
        <f>'2. Budsjettering - Direkte lønn'!F55</f>
        <v>2021</v>
      </c>
      <c r="E92" s="41">
        <f>'2. Budsjettering - Direkte lønn'!G55</f>
        <v>2022</v>
      </c>
      <c r="F92" s="41">
        <f>'2. Budsjettering - Direkte lønn'!H55</f>
        <v>2023</v>
      </c>
      <c r="G92" s="41">
        <f>'2. Budsjettering - Direkte lønn'!I55</f>
        <v>2024</v>
      </c>
      <c r="H92" s="41">
        <f>'2. Budsjettering - Direkte lønn'!J55</f>
        <v>2025</v>
      </c>
      <c r="I92" s="41">
        <f>'2. Budsjettering - Direkte lønn'!K55</f>
        <v>2026</v>
      </c>
      <c r="J92" s="41">
        <f>'2. Budsjettering - Direkte lønn'!L55</f>
        <v>2027</v>
      </c>
      <c r="K92" s="41">
        <f>'2. Budsjettering - Direkte lønn'!M55</f>
        <v>2028</v>
      </c>
      <c r="L92" s="41">
        <f>'2. Budsjettering - Direkte lønn'!N55</f>
        <v>2029</v>
      </c>
      <c r="M92" s="41">
        <f>'2. Budsjettering - Direkte lønn'!O55</f>
        <v>2030</v>
      </c>
      <c r="N92" s="29" t="str">
        <f>'2. Budsjettering - Direkte lønn'!P55</f>
        <v>Total</v>
      </c>
    </row>
    <row r="93" spans="1:14" x14ac:dyDescent="0.25">
      <c r="A93" s="24" t="s">
        <v>427</v>
      </c>
      <c r="B93" s="32">
        <f>B100+B101</f>
        <v>615904.88861192309</v>
      </c>
      <c r="C93" s="32">
        <f t="shared" ref="C93:M93" si="38">C100+C101</f>
        <v>634382.03527028079</v>
      </c>
      <c r="D93" s="32">
        <f t="shared" si="38"/>
        <v>2030976.37111344</v>
      </c>
      <c r="E93" s="32">
        <f t="shared" si="38"/>
        <v>1418889.7610286027</v>
      </c>
      <c r="F93" s="32">
        <f t="shared" si="38"/>
        <v>693206.37825478835</v>
      </c>
      <c r="G93" s="32">
        <f t="shared" si="38"/>
        <v>0</v>
      </c>
      <c r="H93" s="32">
        <f t="shared" si="38"/>
        <v>0</v>
      </c>
      <c r="I93" s="32">
        <f t="shared" si="38"/>
        <v>0</v>
      </c>
      <c r="J93" s="32">
        <f t="shared" si="38"/>
        <v>0</v>
      </c>
      <c r="K93" s="32">
        <f t="shared" si="38"/>
        <v>0</v>
      </c>
      <c r="L93" s="32">
        <f t="shared" si="38"/>
        <v>0</v>
      </c>
      <c r="M93" s="32">
        <f t="shared" si="38"/>
        <v>0</v>
      </c>
      <c r="N93" s="27">
        <f>SUM(B93:M93)</f>
        <v>5393359.4342790348</v>
      </c>
    </row>
    <row r="94" spans="1:14" x14ac:dyDescent="0.25">
      <c r="A94" s="24" t="s">
        <v>428</v>
      </c>
      <c r="B94" s="32">
        <f>B107</f>
        <v>172716.6</v>
      </c>
      <c r="C94" s="32">
        <f t="shared" ref="C94:M94" si="39">C107</f>
        <v>262410.83400000003</v>
      </c>
      <c r="D94" s="32">
        <f t="shared" si="39"/>
        <v>333136.17952000001</v>
      </c>
      <c r="E94" s="32">
        <f t="shared" si="39"/>
        <v>278391.65379060002</v>
      </c>
      <c r="F94" s="32">
        <f t="shared" si="39"/>
        <v>286743.40340431809</v>
      </c>
      <c r="G94" s="32">
        <f t="shared" si="39"/>
        <v>0</v>
      </c>
      <c r="H94" s="32">
        <f t="shared" si="39"/>
        <v>0</v>
      </c>
      <c r="I94" s="32">
        <f t="shared" si="39"/>
        <v>0</v>
      </c>
      <c r="J94" s="32">
        <f t="shared" si="39"/>
        <v>0</v>
      </c>
      <c r="K94" s="32">
        <f t="shared" si="39"/>
        <v>0</v>
      </c>
      <c r="L94" s="32">
        <f t="shared" si="39"/>
        <v>0</v>
      </c>
      <c r="M94" s="32">
        <f t="shared" si="39"/>
        <v>0</v>
      </c>
      <c r="N94" s="27">
        <f t="shared" ref="N94:N95" si="40">SUM(B94:M94)</f>
        <v>1333398.6707149181</v>
      </c>
    </row>
    <row r="95" spans="1:14" x14ac:dyDescent="0.25">
      <c r="A95" s="24" t="s">
        <v>125</v>
      </c>
      <c r="B95" s="32">
        <f>B102+B108</f>
        <v>505933.07091446535</v>
      </c>
      <c r="C95" s="32">
        <f t="shared" ref="C95:M95" si="41">C102+C108</f>
        <v>567559.53104189935</v>
      </c>
      <c r="D95" s="32">
        <f t="shared" si="41"/>
        <v>1522461.4045094429</v>
      </c>
      <c r="E95" s="32">
        <f t="shared" si="41"/>
        <v>1064565.6995647752</v>
      </c>
      <c r="F95" s="32">
        <f t="shared" si="41"/>
        <v>620187.62367682171</v>
      </c>
      <c r="G95" s="32">
        <f t="shared" si="41"/>
        <v>0</v>
      </c>
      <c r="H95" s="32">
        <f t="shared" si="41"/>
        <v>0</v>
      </c>
      <c r="I95" s="32">
        <f t="shared" si="41"/>
        <v>0</v>
      </c>
      <c r="J95" s="32">
        <f t="shared" si="41"/>
        <v>0</v>
      </c>
      <c r="K95" s="32">
        <f t="shared" si="41"/>
        <v>0</v>
      </c>
      <c r="L95" s="32">
        <f t="shared" si="41"/>
        <v>0</v>
      </c>
      <c r="M95" s="32">
        <f t="shared" si="41"/>
        <v>0</v>
      </c>
      <c r="N95" s="27">
        <f t="shared" si="40"/>
        <v>4280707.3297074046</v>
      </c>
    </row>
    <row r="96" spans="1:14" ht="15.75" thickBot="1" x14ac:dyDescent="0.3">
      <c r="A96" s="26" t="s">
        <v>430</v>
      </c>
      <c r="B96" s="33">
        <f>SUM(B93:B95)</f>
        <v>1294554.5595263885</v>
      </c>
      <c r="C96" s="33">
        <f t="shared" ref="C96:M96" si="42">SUM(C93:C95)</f>
        <v>1464352.4003121802</v>
      </c>
      <c r="D96" s="33">
        <f t="shared" si="42"/>
        <v>3886573.9551428827</v>
      </c>
      <c r="E96" s="33">
        <f t="shared" si="42"/>
        <v>2761847.1143839778</v>
      </c>
      <c r="F96" s="33">
        <f t="shared" si="42"/>
        <v>1600137.4053359283</v>
      </c>
      <c r="G96" s="33">
        <f t="shared" si="42"/>
        <v>0</v>
      </c>
      <c r="H96" s="33">
        <f t="shared" si="42"/>
        <v>0</v>
      </c>
      <c r="I96" s="33">
        <f t="shared" si="42"/>
        <v>0</v>
      </c>
      <c r="J96" s="33">
        <f t="shared" si="42"/>
        <v>0</v>
      </c>
      <c r="K96" s="33">
        <f t="shared" si="42"/>
        <v>0</v>
      </c>
      <c r="L96" s="33">
        <f t="shared" si="42"/>
        <v>0</v>
      </c>
      <c r="M96" s="33">
        <f t="shared" si="42"/>
        <v>0</v>
      </c>
      <c r="N96" s="28">
        <f>SUM(N93:N95)</f>
        <v>11007465.434701357</v>
      </c>
    </row>
    <row r="97" spans="1:16" ht="15.75" thickBot="1" x14ac:dyDescent="0.3"/>
    <row r="98" spans="1:16" x14ac:dyDescent="0.25">
      <c r="A98" s="340" t="s">
        <v>429</v>
      </c>
      <c r="B98" s="341"/>
      <c r="C98" s="341"/>
      <c r="D98" s="341"/>
      <c r="E98" s="341"/>
      <c r="F98" s="341"/>
      <c r="G98" s="341"/>
      <c r="H98" s="341"/>
      <c r="I98" s="341"/>
      <c r="J98" s="341"/>
      <c r="K98" s="341"/>
      <c r="L98" s="341"/>
      <c r="M98" s="341"/>
      <c r="N98" s="342"/>
    </row>
    <row r="99" spans="1:16" x14ac:dyDescent="0.25">
      <c r="A99" s="24"/>
      <c r="B99" s="41">
        <f>B92</f>
        <v>2019</v>
      </c>
      <c r="C99" s="41">
        <f t="shared" ref="C99:M99" si="43">C92</f>
        <v>2020</v>
      </c>
      <c r="D99" s="41">
        <f t="shared" si="43"/>
        <v>2021</v>
      </c>
      <c r="E99" s="41">
        <f t="shared" si="43"/>
        <v>2022</v>
      </c>
      <c r="F99" s="41">
        <f t="shared" si="43"/>
        <v>2023</v>
      </c>
      <c r="G99" s="41">
        <f t="shared" si="43"/>
        <v>2024</v>
      </c>
      <c r="H99" s="41">
        <f t="shared" si="43"/>
        <v>2025</v>
      </c>
      <c r="I99" s="41">
        <f t="shared" si="43"/>
        <v>2026</v>
      </c>
      <c r="J99" s="41">
        <f t="shared" si="43"/>
        <v>2027</v>
      </c>
      <c r="K99" s="41">
        <f t="shared" si="43"/>
        <v>2028</v>
      </c>
      <c r="L99" s="41">
        <f t="shared" si="43"/>
        <v>2029</v>
      </c>
      <c r="M99" s="41">
        <f t="shared" si="43"/>
        <v>2030</v>
      </c>
      <c r="N99" s="29" t="str">
        <f>'3. Budsjettering - Timer'!P57</f>
        <v>Total</v>
      </c>
    </row>
    <row r="100" spans="1:16" x14ac:dyDescent="0.25">
      <c r="A100" s="24" t="s">
        <v>431</v>
      </c>
      <c r="B100" s="32">
        <f>IF($C$9="Totalt",'2. Budsjettering - Direkte lønn'!D56,SUMIFS('2. Budsjettering - Direkte lønn'!$D$71:$D$110,'2. Budsjettering - Direkte lønn'!$A$71:$A$110,"nei",'2. Budsjettering - Direkte lønn'!$B$71:$B$110,'5. Oppsummering Budsjett'!$C$10))</f>
        <v>0</v>
      </c>
      <c r="C100" s="32">
        <f>IF($C$9="Totalt",'2. Budsjettering - Direkte lønn'!E56,SUMIFS('2. Budsjettering - Direkte lønn'!$F$71:$F$110,'2. Budsjettering - Direkte lønn'!$A$71:$A$110,"nei",'2. Budsjettering - Direkte lønn'!$B$71:$B$110,'5. Oppsummering Budsjett'!$C$10))</f>
        <v>0</v>
      </c>
      <c r="D100" s="32">
        <f>IF($C$9="Totalt",'2. Budsjettering - Direkte lønn'!F56,SUMIFS('2. Budsjettering - Direkte lønn'!$H$71:$H$110,'2. Budsjettering - Direkte lønn'!$A$71:$A$110,"nei",'2. Budsjettering - Direkte lønn'!$B$71:$B$110,'5. Oppsummering Budsjett'!$C$10))</f>
        <v>0</v>
      </c>
      <c r="E100" s="32">
        <f>IF($C$9="Totalt",'2. Budsjettering - Direkte lønn'!G56,SUMIFS('2. Budsjettering - Direkte lønn'!$J$71:$J$110,'2. Budsjettering - Direkte lønn'!$A$71:$A$110,"nei",'2. Budsjettering - Direkte lønn'!$B$71:$B$110,'5. Oppsummering Budsjett'!$C$10))</f>
        <v>0</v>
      </c>
      <c r="F100" s="32">
        <f>IF($C$9="Totalt",'2. Budsjettering - Direkte lønn'!H56,SUMIFS('2. Budsjettering - Direkte lønn'!$L$71:$L$110,'2. Budsjettering - Direkte lønn'!$A$71:$A$110,"nei",'2. Budsjettering - Direkte lønn'!$B$71:$B$110,'5. Oppsummering Budsjett'!$C$10))</f>
        <v>0</v>
      </c>
      <c r="G100" s="32">
        <f>IF($C$9="Totalt",'2. Budsjettering - Direkte lønn'!I56,SUMIFS('2. Budsjettering - Direkte lønn'!$N$71:$N$110,'2. Budsjettering - Direkte lønn'!$A$71:$A$110,"nei",'2. Budsjettering - Direkte lønn'!$B$71:$B$110,'5. Oppsummering Budsjett'!$C$10))</f>
        <v>0</v>
      </c>
      <c r="H100" s="32">
        <f>IF($C$9="Totalt",'2. Budsjettering - Direkte lønn'!J56,SUMIFS('2. Budsjettering - Direkte lønn'!$P$71:$P$110,'2. Budsjettering - Direkte lønn'!$A$71:$A$110,"nei",'2. Budsjettering - Direkte lønn'!$B$71:$B$110,'5. Oppsummering Budsjett'!$C$10))</f>
        <v>0</v>
      </c>
      <c r="I100" s="32">
        <f>IF($C$9="Totalt",'2. Budsjettering - Direkte lønn'!K56,SUMIFS('2. Budsjettering - Direkte lønn'!$R$71:$R$110,'2. Budsjettering - Direkte lønn'!$A$71:$A$110,"nei",'2. Budsjettering - Direkte lønn'!$B$71:$B$110,'5. Oppsummering Budsjett'!$C$10))</f>
        <v>0</v>
      </c>
      <c r="J100" s="32">
        <f>IF($C$9="Totalt",'2. Budsjettering - Direkte lønn'!L56,SUMIFS('2. Budsjettering - Direkte lønn'!$T$71:$T$110,'2. Budsjettering - Direkte lønn'!$A$71:$A$110,"nei",'2. Budsjettering - Direkte lønn'!$B$71:$B$110,'5. Oppsummering Budsjett'!$C$10))</f>
        <v>0</v>
      </c>
      <c r="K100" s="32">
        <f>IF($C$9="Totalt",'2. Budsjettering - Direkte lønn'!M56,SUMIFS('2. Budsjettering - Direkte lønn'!$V$71:$V$110,'2. Budsjettering - Direkte lønn'!$A$71:$A$110,"nei",'2. Budsjettering - Direkte lønn'!$B$71:$B$110,'5. Oppsummering Budsjett'!$C$10))</f>
        <v>0</v>
      </c>
      <c r="L100" s="32">
        <f>IF($C$9="Totalt",'2. Budsjettering - Direkte lønn'!N56,SUMIFS('2. Budsjettering - Direkte lønn'!$X$71:$X$110,'2. Budsjettering - Direkte lønn'!$A$71:$A$110,"nei",'2. Budsjettering - Direkte lønn'!$B$71:$B$110,'5. Oppsummering Budsjett'!$C$10))</f>
        <v>0</v>
      </c>
      <c r="M100" s="32">
        <f>IF($C$9="Totalt",'2. Budsjettering - Direkte lønn'!O56,SUMIFS('2. Budsjettering - Direkte lønn'!$Z$71:$Z$110,'2. Budsjettering - Direkte lønn'!$A$71:$A$110,"nei",'2. Budsjettering - Direkte lønn'!$B$71:$B$110,'5. Oppsummering Budsjett'!$C$10))</f>
        <v>0</v>
      </c>
      <c r="N100" s="34">
        <f>SUM(B100:M100)</f>
        <v>0</v>
      </c>
    </row>
    <row r="101" spans="1:16" x14ac:dyDescent="0.25">
      <c r="A101" s="24" t="s">
        <v>432</v>
      </c>
      <c r="B101" s="32">
        <f>IF($C$9="Totalt",'2. Budsjettering - Direkte lønn'!D57,SUMIFS('2. Budsjettering - Direkte lønn'!$D$71:$D$110,'2. Budsjettering - Direkte lønn'!$A$71:$A$110,"ja",'2. Budsjettering - Direkte lønn'!$B$71:$B$110,'5. Oppsummering Budsjett'!$C$10))</f>
        <v>615904.88861192309</v>
      </c>
      <c r="C101" s="32">
        <f>IF($C$9="Totalt",'2. Budsjettering - Direkte lønn'!E57,SUMIFS('2. Budsjettering - Direkte lønn'!$F$71:$F$110,'2. Budsjettering - Direkte lønn'!$A$71:$A$110,"ja",'2. Budsjettering - Direkte lønn'!$B$71:$B$110,'5. Oppsummering Budsjett'!$C$10))</f>
        <v>634382.03527028079</v>
      </c>
      <c r="D101" s="32">
        <f>IF($C$9="Totalt",'2. Budsjettering - Direkte lønn'!F57,SUMIFS('2. Budsjettering - Direkte lønn'!$H$71:$H$110,'2. Budsjettering - Direkte lønn'!$A$71:$A$110,"ja",'2. Budsjettering - Direkte lønn'!$B$71:$B$110,'5. Oppsummering Budsjett'!$C$10))</f>
        <v>2030976.37111344</v>
      </c>
      <c r="E101" s="32">
        <f>IF($C$9="Totalt",'2. Budsjettering - Direkte lønn'!G57,SUMIFS('2. Budsjettering - Direkte lønn'!$J$71:$J$110,'2. Budsjettering - Direkte lønn'!$A$71:$A$110,"ja",'2. Budsjettering - Direkte lønn'!$B$71:$B$110,'5. Oppsummering Budsjett'!$C$10))</f>
        <v>1418889.7610286027</v>
      </c>
      <c r="F101" s="32">
        <f>IF($C$9="Totalt",'2. Budsjettering - Direkte lønn'!H57,SUMIFS('2. Budsjettering - Direkte lønn'!$L$71:$L$110,'2. Budsjettering - Direkte lønn'!$A$71:$A$110,"ja",'2. Budsjettering - Direkte lønn'!$B$71:$B$110,'5. Oppsummering Budsjett'!$C$10))</f>
        <v>693206.37825478835</v>
      </c>
      <c r="G101" s="32">
        <f>IF($C$9="Totalt",'2. Budsjettering - Direkte lønn'!I57,SUMIFS('2. Budsjettering - Direkte lønn'!$N$71:$N$110,'2. Budsjettering - Direkte lønn'!$A$71:$A$110,"ja",'2. Budsjettering - Direkte lønn'!$B$71:$B$110,'5. Oppsummering Budsjett'!$C$10))</f>
        <v>0</v>
      </c>
      <c r="H101" s="32">
        <f>IF($C$9="Totalt",'2. Budsjettering - Direkte lønn'!J57,SUMIFS('2. Budsjettering - Direkte lønn'!$P$71:$P$110,'2. Budsjettering - Direkte lønn'!$A$71:$A$110,"ja",'2. Budsjettering - Direkte lønn'!$B$71:$B$110,'5. Oppsummering Budsjett'!$C$10))</f>
        <v>0</v>
      </c>
      <c r="I101" s="32">
        <f>IF($C$9="Totalt",'2. Budsjettering - Direkte lønn'!K57,SUMIFS('2. Budsjettering - Direkte lønn'!$R$71:$R$110,'2. Budsjettering - Direkte lønn'!$A$71:$A$110,"ja",'2. Budsjettering - Direkte lønn'!$B$71:$B$110,'5. Oppsummering Budsjett'!$C$10))</f>
        <v>0</v>
      </c>
      <c r="J101" s="32">
        <f>IF($C$9="Totalt",'2. Budsjettering - Direkte lønn'!L57,SUMIFS('2. Budsjettering - Direkte lønn'!$T$71:$T$110,'2. Budsjettering - Direkte lønn'!$A$71:$A$110,"ja",'2. Budsjettering - Direkte lønn'!$B$71:$B$110,'5. Oppsummering Budsjett'!$C$10))</f>
        <v>0</v>
      </c>
      <c r="K101" s="32">
        <f>IF($C$9="Totalt",'2. Budsjettering - Direkte lønn'!M57,SUMIFS('2. Budsjettering - Direkte lønn'!$V$71:$V$110,'2. Budsjettering - Direkte lønn'!$A$71:$A$110,"ja",'2. Budsjettering - Direkte lønn'!$B$71:$B$110,'5. Oppsummering Budsjett'!$C$10))</f>
        <v>0</v>
      </c>
      <c r="L101" s="32">
        <f>IF($C$9="Totalt",'2. Budsjettering - Direkte lønn'!N57,SUMIFS('2. Budsjettering - Direkte lønn'!$X$71:$X$110,'2. Budsjettering - Direkte lønn'!$A$71:$A$110,"ja",'2. Budsjettering - Direkte lønn'!$B$71:$B$110,'5. Oppsummering Budsjett'!$C$10))</f>
        <v>0</v>
      </c>
      <c r="M101" s="32">
        <f>IF($C$9="Totalt",'2. Budsjettering - Direkte lønn'!O57,SUMIFS('2. Budsjettering - Direkte lønn'!$Z$71:$Z$110,'2. Budsjettering - Direkte lønn'!$A$71:$A$110,"ja",'2. Budsjettering - Direkte lønn'!$B$71:$B$110,'5. Oppsummering Budsjett'!$C$10))</f>
        <v>0</v>
      </c>
      <c r="N101" s="34">
        <f t="shared" ref="N101:N102" si="44">SUM(B101:M101)</f>
        <v>5393359.4342790348</v>
      </c>
    </row>
    <row r="102" spans="1:16" x14ac:dyDescent="0.25">
      <c r="A102" s="24" t="s">
        <v>433</v>
      </c>
      <c r="B102" s="32">
        <f>IF($C$9="Totalt",'2. Budsjettering - Direkte lønn'!D58,SUMIF('2. Budsjettering - Direkte lønn'!$B$71:$B$110,'5. Oppsummering Budsjett'!$C$10,'2. Budsjettering - Direkte lønn'!$E$71:$E$110))</f>
        <v>437292.47091446538</v>
      </c>
      <c r="C102" s="32">
        <f>IF($C$9="Totalt",'2. Budsjettering - Direkte lønn'!E58,SUMIF('2. Budsjettering - Direkte lønn'!$B$71:$B$110,'5. Oppsummering Budsjett'!$C$10,'2. Budsjettering - Direkte lønn'!$G$71:$G$110))</f>
        <v>450411.24504189932</v>
      </c>
      <c r="D102" s="32">
        <f>IF($C$9="Totalt",'2. Budsjettering - Direkte lønn'!F58,SUMIF('2. Budsjettering - Direkte lønn'!$B$71:$B$110,'5. Oppsummering Budsjett'!$C$10,'2. Budsjettering - Direkte lønn'!$I$71:$I$110))</f>
        <v>1376819.7794294429</v>
      </c>
      <c r="E102" s="32">
        <f>IF($C$9="Totalt",'2. Budsjettering - Direkte lønn'!G58,SUMIF('2. Budsjettering - Direkte lønn'!$B$71:$B$110,'5. Oppsummering Budsjett'!$C$10,'2. Budsjettering - Direkte lønn'!$K$71:$K$110))</f>
        <v>940283.08294737525</v>
      </c>
      <c r="F102" s="32">
        <f>IF($C$9="Totalt",'2. Budsjettering - Direkte lønn'!H58,SUMIF('2. Budsjettering - Direkte lønn'!$B$71:$B$110,'5. Oppsummering Budsjett'!$C$10,'2. Budsjettering - Direkte lønn'!$M$71:$M$110))</f>
        <v>492176.52856089972</v>
      </c>
      <c r="G102" s="32">
        <f>IF($C$9="Totalt",'2. Budsjettering - Direkte lønn'!I58,SUMIF('2. Budsjettering - Direkte lønn'!$B$71:$B$110,'5. Oppsummering Budsjett'!$C$10,'2. Budsjettering - Direkte lønn'!$O$71:$O$110))</f>
        <v>0</v>
      </c>
      <c r="H102" s="32">
        <f>IF($C$9="Totalt",'2. Budsjettering - Direkte lønn'!J58,SUMIF('2. Budsjettering - Direkte lønn'!$B$71:$B$110,'5. Oppsummering Budsjett'!$C$10,'2. Budsjettering - Direkte lønn'!$Q$71:$Q$110))</f>
        <v>0</v>
      </c>
      <c r="I102" s="32">
        <f>IF($C$9="Totalt",'2. Budsjettering - Direkte lønn'!K58,SUMIF('2. Budsjettering - Direkte lønn'!$B$71:$B$110,'5. Oppsummering Budsjett'!$C$10,'2. Budsjettering - Direkte lønn'!$S$71:$S$110))</f>
        <v>0</v>
      </c>
      <c r="J102" s="32">
        <f>IF($C$9="Totalt",'2. Budsjettering - Direkte lønn'!L58,SUMIF('2. Budsjettering - Direkte lønn'!$B$71:$B$110,'5. Oppsummering Budsjett'!$C$10,'2. Budsjettering - Direkte lønn'!$U$71:$U$110))</f>
        <v>0</v>
      </c>
      <c r="K102" s="32">
        <f>IF($C$9="Totalt",'2. Budsjettering - Direkte lønn'!M58,SUMIF('2. Budsjettering - Direkte lønn'!$B$71:$B$110,'5. Oppsummering Budsjett'!$C$10,'2. Budsjettering - Direkte lønn'!$W$71:$W$110))</f>
        <v>0</v>
      </c>
      <c r="L102" s="32">
        <f>IF($C$9="Totalt",'2. Budsjettering - Direkte lønn'!N58,SUMIF('2. Budsjettering - Direkte lønn'!$B$71:$B$110,'5. Oppsummering Budsjett'!$C$10,'2. Budsjettering - Direkte lønn'!$Y$71:$Y$110))</f>
        <v>0</v>
      </c>
      <c r="M102" s="32">
        <f>IF($C$9="Totalt",'2. Budsjettering - Direkte lønn'!O58,SUMIF('2. Budsjettering - Direkte lønn'!$B$71:$B$110,'5. Oppsummering Budsjett'!$C$10,'2. Budsjettering - Direkte lønn'!$AA$71:$AA$110))</f>
        <v>0</v>
      </c>
      <c r="N102" s="34">
        <f t="shared" si="44"/>
        <v>3696983.1068940829</v>
      </c>
    </row>
    <row r="103" spans="1:16" ht="15.75" thickBot="1" x14ac:dyDescent="0.3">
      <c r="A103" s="26" t="s">
        <v>434</v>
      </c>
      <c r="B103" s="33">
        <f>SUM(B100:B102)</f>
        <v>1053197.3595263883</v>
      </c>
      <c r="C103" s="33">
        <f t="shared" ref="C103:N103" si="45">SUM(C100:C102)</f>
        <v>1084793.2803121801</v>
      </c>
      <c r="D103" s="33">
        <f t="shared" si="45"/>
        <v>3407796.1505428832</v>
      </c>
      <c r="E103" s="33">
        <f t="shared" si="45"/>
        <v>2359172.843975978</v>
      </c>
      <c r="F103" s="33">
        <f t="shared" si="45"/>
        <v>1185382.9068156881</v>
      </c>
      <c r="G103" s="33">
        <f t="shared" si="45"/>
        <v>0</v>
      </c>
      <c r="H103" s="33">
        <f t="shared" si="45"/>
        <v>0</v>
      </c>
      <c r="I103" s="33">
        <f t="shared" si="45"/>
        <v>0</v>
      </c>
      <c r="J103" s="33">
        <f t="shared" si="45"/>
        <v>0</v>
      </c>
      <c r="K103" s="33">
        <f t="shared" si="45"/>
        <v>0</v>
      </c>
      <c r="L103" s="33">
        <f t="shared" si="45"/>
        <v>0</v>
      </c>
      <c r="M103" s="33">
        <f t="shared" si="45"/>
        <v>0</v>
      </c>
      <c r="N103" s="35">
        <f t="shared" si="45"/>
        <v>9090342.5411731172</v>
      </c>
    </row>
    <row r="104" spans="1:16" ht="15.75" thickBot="1" x14ac:dyDescent="0.3">
      <c r="A104" s="131"/>
      <c r="B104" s="39"/>
      <c r="C104" s="39"/>
      <c r="D104" s="39"/>
      <c r="E104" s="39"/>
      <c r="F104" s="39"/>
      <c r="G104" s="39"/>
      <c r="H104" s="39"/>
      <c r="I104" s="39"/>
      <c r="J104" s="39"/>
      <c r="K104" s="39"/>
      <c r="L104" s="39"/>
      <c r="M104" s="39"/>
      <c r="N104" s="39"/>
    </row>
    <row r="105" spans="1:16" x14ac:dyDescent="0.25">
      <c r="A105" s="343" t="s">
        <v>435</v>
      </c>
      <c r="B105" s="344"/>
      <c r="C105" s="344"/>
      <c r="D105" s="344"/>
      <c r="E105" s="344"/>
      <c r="F105" s="344"/>
      <c r="G105" s="344"/>
      <c r="H105" s="344"/>
      <c r="I105" s="344"/>
      <c r="J105" s="344"/>
      <c r="K105" s="344"/>
      <c r="L105" s="344"/>
      <c r="M105" s="344"/>
      <c r="N105" s="345"/>
    </row>
    <row r="106" spans="1:16" x14ac:dyDescent="0.25">
      <c r="A106" s="244"/>
      <c r="B106" s="246">
        <f>B92</f>
        <v>2019</v>
      </c>
      <c r="C106" s="41">
        <f>C92</f>
        <v>2020</v>
      </c>
      <c r="D106" s="41">
        <f t="shared" ref="D106:M106" si="46">D92</f>
        <v>2021</v>
      </c>
      <c r="E106" s="41">
        <f t="shared" si="46"/>
        <v>2022</v>
      </c>
      <c r="F106" s="41">
        <f t="shared" si="46"/>
        <v>2023</v>
      </c>
      <c r="G106" s="41">
        <f t="shared" si="46"/>
        <v>2024</v>
      </c>
      <c r="H106" s="41">
        <f t="shared" si="46"/>
        <v>2025</v>
      </c>
      <c r="I106" s="41">
        <f t="shared" si="46"/>
        <v>2026</v>
      </c>
      <c r="J106" s="41">
        <f t="shared" si="46"/>
        <v>2027</v>
      </c>
      <c r="K106" s="41">
        <f t="shared" si="46"/>
        <v>2028</v>
      </c>
      <c r="L106" s="41">
        <f t="shared" si="46"/>
        <v>2029</v>
      </c>
      <c r="M106" s="41">
        <f t="shared" si="46"/>
        <v>2030</v>
      </c>
      <c r="N106" s="245" t="s">
        <v>79</v>
      </c>
    </row>
    <row r="107" spans="1:16" x14ac:dyDescent="0.25">
      <c r="A107" s="24" t="s">
        <v>437</v>
      </c>
      <c r="B107" s="32">
        <f>IF($C$9="Totalt",'3. Budsjettering - Timer'!D58,SUMIF('3. Budsjettering - Timer'!$B$67:$B$106,'5. Oppsummering Budsjett'!$C$10,'3. Budsjettering - Timer'!C$67:C$106))</f>
        <v>172716.6</v>
      </c>
      <c r="C107" s="32">
        <f>IF($C$9="Totalt",'3. Budsjettering - Timer'!E58,SUMIF('3. Budsjettering - Timer'!$B$67:$B$106,'5. Oppsummering Budsjett'!$C$10,'3. Budsjettering - Timer'!E$67:E$106))</f>
        <v>262410.83400000003</v>
      </c>
      <c r="D107" s="32">
        <f>IF($C$9="Totalt",'3. Budsjettering - Timer'!F58,SUMIF('3. Budsjettering - Timer'!$B$67:$B$106,'5. Oppsummering Budsjett'!$C$10,'3. Budsjettering - Timer'!G$67:G$106))</f>
        <v>333136.17952000001</v>
      </c>
      <c r="E107" s="32">
        <f>IF($C$9="Totalt",'3. Budsjettering - Timer'!G58,SUMIF('3. Budsjettering - Timer'!$B$67:$B$106,'5. Oppsummering Budsjett'!$C$10,'3. Budsjettering - Timer'!I$67:I$106))</f>
        <v>278391.65379060002</v>
      </c>
      <c r="F107" s="32">
        <f>IF($C$9="Totalt",'3. Budsjettering - Timer'!H58,SUMIF('3. Budsjettering - Timer'!$B$67:$B$106,'5. Oppsummering Budsjett'!$C$10,'3. Budsjettering - Timer'!K$67:K$106))</f>
        <v>286743.40340431809</v>
      </c>
      <c r="G107" s="32">
        <f>IF($C$9="Totalt",'3. Budsjettering - Timer'!I58,SUMIF('3. Budsjettering - Timer'!$B$67:$B$106,'5. Oppsummering Budsjett'!$C$10,'3. Budsjettering - Timer'!M$67:M$106))</f>
        <v>0</v>
      </c>
      <c r="H107" s="32">
        <f>IF($C$9="Totalt",'3. Budsjettering - Timer'!J58,SUMIF('3. Budsjettering - Timer'!$B$67:$B$106,'5. Oppsummering Budsjett'!$C$10,'3. Budsjettering - Timer'!O$67:O$106))</f>
        <v>0</v>
      </c>
      <c r="I107" s="32">
        <f>IF($C$9="Totalt",'3. Budsjettering - Timer'!K58,SUMIF('3. Budsjettering - Timer'!$B$67:$B$106,'5. Oppsummering Budsjett'!$C$10,'3. Budsjettering - Timer'!Q$67:Q$106))</f>
        <v>0</v>
      </c>
      <c r="J107" s="32">
        <f>IF($C$9="Totalt",'3. Budsjettering - Timer'!L58,SUMIF('3. Budsjettering - Timer'!$B$67:$B$106,'5. Oppsummering Budsjett'!$C$10,'3. Budsjettering - Timer'!S$67:S$106))</f>
        <v>0</v>
      </c>
      <c r="K107" s="32">
        <f>IF($C$9="Totalt",'3. Budsjettering - Timer'!M58,SUMIF('3. Budsjettering - Timer'!$B$67:$B$106,'5. Oppsummering Budsjett'!$C$10,'3. Budsjettering - Timer'!U$67:U$106))</f>
        <v>0</v>
      </c>
      <c r="L107" s="32">
        <f>IF($C$9="Totalt",'3. Budsjettering - Timer'!N58,SUMIF('3. Budsjettering - Timer'!$B$67:$B$106,'5. Oppsummering Budsjett'!$C$10,'3. Budsjettering - Timer'!W$67:W$106))</f>
        <v>0</v>
      </c>
      <c r="M107" s="32">
        <f>IF($C$9="Totalt",'3. Budsjettering - Timer'!O58,SUMIF('3. Budsjettering - Timer'!$B$67:$B$106,'5. Oppsummering Budsjett'!$C$10,'3. Budsjettering - Timer'!Y$67:Y$106))</f>
        <v>0</v>
      </c>
      <c r="N107" s="258">
        <f>SUM(B107:M107)</f>
        <v>1333398.6707149181</v>
      </c>
      <c r="P107">
        <f>SUMIF('3. Budsjettering - Timer'!B67:B106,'5. Oppsummering Budsjett'!C10,'3. Budsjettering - Timer'!C67:C106)</f>
        <v>59245</v>
      </c>
    </row>
    <row r="108" spans="1:16" x14ac:dyDescent="0.25">
      <c r="A108" s="24" t="s">
        <v>438</v>
      </c>
      <c r="B108" s="284">
        <f>IF($C$9="Totalt",'3. Budsjettering - Timer'!D59,SUMIF('3. Budsjettering - Timer'!$B$67:$B$106,'5. Oppsummering Budsjett'!$C$10,'3. Budsjettering - Timer'!D$67:D$106))</f>
        <v>68640.600000000006</v>
      </c>
      <c r="C108" s="284">
        <f>IF($C$9="Totalt",'3. Budsjettering - Timer'!E59,SUMIF('3. Budsjettering - Timer'!$B$67:$B$106,'5. Oppsummering Budsjett'!$C$10,'3. Budsjettering - Timer'!F$67:F$106))</f>
        <v>117148.28600000002</v>
      </c>
      <c r="D108" s="284">
        <f>IF($C$9="Totalt",'3. Budsjettering - Timer'!F59,SUMIF('3. Budsjettering - Timer'!$B$67:$B$106,'5. Oppsummering Budsjett'!$C$10,'3. Budsjettering - Timer'!H$67:H$106))</f>
        <v>145641.62508</v>
      </c>
      <c r="E108" s="284">
        <f>IF($C$9="Totalt",'3. Budsjettering - Timer'!G59,SUMIF('3. Budsjettering - Timer'!$B$67:$B$106,'5. Oppsummering Budsjett'!$C$10,'3. Budsjettering - Timer'!J$67:J$106))</f>
        <v>124282.61661740002</v>
      </c>
      <c r="F108" s="284">
        <f>IF($C$9="Totalt",'3. Budsjettering - Timer'!H59,SUMIF('3. Budsjettering - Timer'!$B$67:$B$106,'5. Oppsummering Budsjett'!$C$10,'3. Budsjettering - Timer'!L$67:L$106))</f>
        <v>128011.09511592203</v>
      </c>
      <c r="G108" s="284">
        <f>IF($C$9="Totalt",'3. Budsjettering - Timer'!I59,SUMIF('3. Budsjettering - Timer'!$B$67:$B$106,'5. Oppsummering Budsjett'!$C$10,'3. Budsjettering - Timer'!N$67:N$106))</f>
        <v>0</v>
      </c>
      <c r="H108" s="284">
        <f>IF($C$9="Totalt",'3. Budsjettering - Timer'!J59,SUMIF('3. Budsjettering - Timer'!$B$67:$B$106,'5. Oppsummering Budsjett'!$C$10,'3. Budsjettering - Timer'!P$67:P$106))</f>
        <v>0</v>
      </c>
      <c r="I108" s="284">
        <f>IF($C$9="Totalt",'3. Budsjettering - Timer'!K59,SUMIF('3. Budsjettering - Timer'!$B$67:$B$106,'5. Oppsummering Budsjett'!$C$10,'3. Budsjettering - Timer'!R$67:R$106))</f>
        <v>0</v>
      </c>
      <c r="J108" s="284">
        <f>IF($C$9="Totalt",'3. Budsjettering - Timer'!L59,SUMIF('3. Budsjettering - Timer'!$B$67:$B$106,'5. Oppsummering Budsjett'!$C$10,'3. Budsjettering - Timer'!T$67:T$106))</f>
        <v>0</v>
      </c>
      <c r="K108" s="284">
        <f>IF($C$9="Totalt",'3. Budsjettering - Timer'!M59,SUMIF('3. Budsjettering - Timer'!$B$67:$B$106,'5. Oppsummering Budsjett'!$C$10,'3. Budsjettering - Timer'!V$67:V$106))</f>
        <v>0</v>
      </c>
      <c r="L108" s="284">
        <f>IF($C$9="Totalt",'3. Budsjettering - Timer'!N59,SUMIF('3. Budsjettering - Timer'!$B$67:$B$106,'5. Oppsummering Budsjett'!$C$10,'3. Budsjettering - Timer'!X$67:X$106))</f>
        <v>0</v>
      </c>
      <c r="M108" s="284">
        <f>IF($C$9="Totalt",'3. Budsjettering - Timer'!O59,SUMIF('3. Budsjettering - Timer'!$B$67:$B$106,'5. Oppsummering Budsjett'!$C$10,'3. Budsjettering - Timer'!Z$67:Z$106))</f>
        <v>0</v>
      </c>
      <c r="N108" s="258">
        <f>SUM(B108:M108)</f>
        <v>583724.22281332209</v>
      </c>
    </row>
    <row r="109" spans="1:16" ht="15.75" thickBot="1" x14ac:dyDescent="0.3">
      <c r="A109" s="26" t="s">
        <v>436</v>
      </c>
      <c r="B109" s="33">
        <f>SUM(B107:B108)</f>
        <v>241357.2</v>
      </c>
      <c r="C109" s="33">
        <f t="shared" ref="C109:M109" si="47">SUM(C107:C108)</f>
        <v>379559.12000000005</v>
      </c>
      <c r="D109" s="33">
        <f t="shared" si="47"/>
        <v>478777.80460000003</v>
      </c>
      <c r="E109" s="33">
        <f t="shared" si="47"/>
        <v>402674.27040800004</v>
      </c>
      <c r="F109" s="33">
        <f t="shared" si="47"/>
        <v>414754.49852024013</v>
      </c>
      <c r="G109" s="33">
        <f t="shared" si="47"/>
        <v>0</v>
      </c>
      <c r="H109" s="33">
        <f t="shared" si="47"/>
        <v>0</v>
      </c>
      <c r="I109" s="33">
        <f t="shared" si="47"/>
        <v>0</v>
      </c>
      <c r="J109" s="33">
        <f t="shared" si="47"/>
        <v>0</v>
      </c>
      <c r="K109" s="33">
        <f t="shared" si="47"/>
        <v>0</v>
      </c>
      <c r="L109" s="33">
        <f t="shared" si="47"/>
        <v>0</v>
      </c>
      <c r="M109" s="33">
        <f t="shared" si="47"/>
        <v>0</v>
      </c>
      <c r="N109" s="35">
        <f>SUM(N107:N108)</f>
        <v>1917122.8935282403</v>
      </c>
    </row>
    <row r="110" spans="1:16" x14ac:dyDescent="0.25">
      <c r="A110" s="131"/>
      <c r="B110" s="39"/>
      <c r="C110" s="39"/>
      <c r="D110" s="39"/>
      <c r="E110" s="39"/>
      <c r="F110" s="39"/>
      <c r="G110" s="39"/>
      <c r="H110" s="39"/>
      <c r="I110" s="39"/>
      <c r="J110" s="39"/>
      <c r="K110" s="39"/>
      <c r="L110" s="39"/>
      <c r="M110" s="39"/>
      <c r="N110" s="39"/>
    </row>
    <row r="111" spans="1:16" ht="15.75" thickBot="1" x14ac:dyDescent="0.3">
      <c r="A111" s="24"/>
      <c r="B111" s="39"/>
      <c r="C111" s="39"/>
      <c r="D111" s="39"/>
      <c r="E111" s="39"/>
      <c r="F111" s="39"/>
      <c r="G111" s="39"/>
      <c r="H111" s="39"/>
      <c r="I111" s="39"/>
      <c r="J111" s="39"/>
      <c r="K111" s="39"/>
      <c r="L111" s="39"/>
      <c r="M111" s="39"/>
      <c r="N111" s="34"/>
    </row>
    <row r="112" spans="1:16" x14ac:dyDescent="0.25">
      <c r="A112" s="322" t="str">
        <f>'4. Budsjettering -Drift'!C64</f>
        <v>Oppsummering driftskostnader</v>
      </c>
      <c r="B112" s="323"/>
      <c r="C112" s="323"/>
      <c r="D112" s="323"/>
      <c r="E112" s="323"/>
      <c r="F112" s="323"/>
      <c r="G112" s="323"/>
      <c r="H112" s="323"/>
      <c r="I112" s="323"/>
      <c r="J112" s="323"/>
      <c r="K112" s="323"/>
      <c r="L112" s="323"/>
      <c r="M112" s="323"/>
      <c r="N112" s="324"/>
    </row>
    <row r="113" spans="1:14" x14ac:dyDescent="0.25">
      <c r="A113" s="110" t="str">
        <f>'4. Budsjettering -Drift'!C65</f>
        <v>Kostnadstype</v>
      </c>
      <c r="B113" s="36">
        <f>'4. Budsjettering -Drift'!D65</f>
        <v>2019</v>
      </c>
      <c r="C113" s="36">
        <f>'4. Budsjettering -Drift'!E65</f>
        <v>2020</v>
      </c>
      <c r="D113" s="36">
        <f>'4. Budsjettering -Drift'!F65</f>
        <v>2021</v>
      </c>
      <c r="E113" s="36">
        <f>'4. Budsjettering -Drift'!G65</f>
        <v>2022</v>
      </c>
      <c r="F113" s="36">
        <f>'4. Budsjettering -Drift'!H65</f>
        <v>2023</v>
      </c>
      <c r="G113" s="36">
        <f>'4. Budsjettering -Drift'!I65</f>
        <v>2024</v>
      </c>
      <c r="H113" s="36">
        <f>'4. Budsjettering -Drift'!J65</f>
        <v>2025</v>
      </c>
      <c r="I113" s="36">
        <f>'4. Budsjettering -Drift'!K65</f>
        <v>2026</v>
      </c>
      <c r="J113" s="36">
        <f>'4. Budsjettering -Drift'!L65</f>
        <v>2027</v>
      </c>
      <c r="K113" s="36">
        <f>'4. Budsjettering -Drift'!M65</f>
        <v>2028</v>
      </c>
      <c r="L113" s="36">
        <f>'4. Budsjettering -Drift'!N65</f>
        <v>2029</v>
      </c>
      <c r="M113" s="36">
        <f>'4. Budsjettering -Drift'!O65</f>
        <v>2030</v>
      </c>
      <c r="N113" s="37" t="str">
        <f>'4. Budsjettering -Drift'!P65</f>
        <v>Total</v>
      </c>
    </row>
    <row r="114" spans="1:14" x14ac:dyDescent="0.25">
      <c r="A114" s="38" t="str">
        <f>'4. Budsjettering -Drift'!C66</f>
        <v>Reisekostnader</v>
      </c>
      <c r="B114" s="32">
        <f>IF($C$9="Totalt",'4. Budsjettering -Drift'!D66,SUMIFS('4. Budsjettering -Drift'!D$10:D$61,'4. Budsjettering -Drift'!$A$10:$A$61,'5. Oppsummering Budsjett'!$A114,'4. Budsjettering -Drift'!$B$10:$B$61,'5. Oppsummering Budsjett'!$C$10))</f>
        <v>115000</v>
      </c>
      <c r="C114" s="32">
        <f>IF($C$9="Totalt",'4. Budsjettering -Drift'!E66,SUMIFS('4. Budsjettering -Drift'!E$10:E$61,'4. Budsjettering -Drift'!$A$10:$A$61,'5. Oppsummering Budsjett'!$A114,'4. Budsjettering -Drift'!$B$10:$B$61,'5. Oppsummering Budsjett'!$C$10))</f>
        <v>117874.99999999999</v>
      </c>
      <c r="D114" s="32">
        <f>IF($C$9="Totalt",'4. Budsjettering -Drift'!F66,SUMIFS('4. Budsjettering -Drift'!F$10:F$61,'4. Budsjettering -Drift'!$A$10:$A$61,'5. Oppsummering Budsjett'!$A114,'4. Budsjettering -Drift'!$B$10:$B$61,'5. Oppsummering Budsjett'!$C$10))</f>
        <v>120821.87499999997</v>
      </c>
      <c r="E114" s="32">
        <f>IF($C$9="Totalt",'4. Budsjettering -Drift'!G66,SUMIFS('4. Budsjettering -Drift'!G$10:G$61,'4. Budsjettering -Drift'!$A$10:$A$61,'5. Oppsummering Budsjett'!$A114,'4. Budsjettering -Drift'!$B$10:$B$61,'5. Oppsummering Budsjett'!$C$10))</f>
        <v>123842.42187499996</v>
      </c>
      <c r="F114" s="32">
        <f>IF($C$9="Totalt",'4. Budsjettering -Drift'!H66,SUMIFS('4. Budsjettering -Drift'!H$10:H$61,'4. Budsjettering -Drift'!$A$10:$A$61,'5. Oppsummering Budsjett'!$A114,'4. Budsjettering -Drift'!$B$10:$B$61,'5. Oppsummering Budsjett'!$C$10))</f>
        <v>126938.48242187494</v>
      </c>
      <c r="G114" s="32">
        <f>IF($C$9="Totalt",'4. Budsjettering -Drift'!I66,SUMIFS('4. Budsjettering -Drift'!I$10:I$61,'4. Budsjettering -Drift'!$A$10:$A$61,'5. Oppsummering Budsjett'!$A114,'4. Budsjettering -Drift'!$B$10:$B$61,'5. Oppsummering Budsjett'!$C$10))</f>
        <v>0</v>
      </c>
      <c r="H114" s="32">
        <f>IF($C$9="Totalt",'4. Budsjettering -Drift'!J66,SUMIFS('4. Budsjettering -Drift'!J$10:J$61,'4. Budsjettering -Drift'!$A$10:$A$61,'5. Oppsummering Budsjett'!$A114,'4. Budsjettering -Drift'!$B$10:$B$61,'5. Oppsummering Budsjett'!$C$10))</f>
        <v>0</v>
      </c>
      <c r="I114" s="32">
        <f>IF($C$9="Totalt",'4. Budsjettering -Drift'!K66,SUMIFS('4. Budsjettering -Drift'!K$10:K$61,'4. Budsjettering -Drift'!$A$10:$A$61,'5. Oppsummering Budsjett'!$A114,'4. Budsjettering -Drift'!$B$10:$B$61,'5. Oppsummering Budsjett'!$C$10))</f>
        <v>0</v>
      </c>
      <c r="J114" s="32">
        <f>IF($C$9="Totalt",'4. Budsjettering -Drift'!L66,SUMIFS('4. Budsjettering -Drift'!L$10:L$61,'4. Budsjettering -Drift'!$A$10:$A$61,'5. Oppsummering Budsjett'!$A114,'4. Budsjettering -Drift'!$B$10:$B$61,'5. Oppsummering Budsjett'!$C$10))</f>
        <v>0</v>
      </c>
      <c r="K114" s="32">
        <f>IF($C$9="Totalt",'4. Budsjettering -Drift'!M66,SUMIFS('4. Budsjettering -Drift'!M$10:M$61,'4. Budsjettering -Drift'!$A$10:$A$61,'5. Oppsummering Budsjett'!$A114,'4. Budsjettering -Drift'!$B$10:$B$61,'5. Oppsummering Budsjett'!$C$10))</f>
        <v>0</v>
      </c>
      <c r="L114" s="32">
        <f>IF($C$9="Totalt",'4. Budsjettering -Drift'!N66,SUMIFS('4. Budsjettering -Drift'!N$10:N$61,'4. Budsjettering -Drift'!$A$10:$A$61,'5. Oppsummering Budsjett'!$A114,'4. Budsjettering -Drift'!$B$10:$B$61,'5. Oppsummering Budsjett'!$C$10))</f>
        <v>0</v>
      </c>
      <c r="M114" s="32">
        <f>IF($C$9="Totalt",'4. Budsjettering -Drift'!O66,SUMIFS('4. Budsjettering -Drift'!O$10:O$61,'4. Budsjettering -Drift'!$A$10:$A$61,'5. Oppsummering Budsjett'!$A114,'4. Budsjettering -Drift'!$B$10:$B$61,'5. Oppsummering Budsjett'!$C$10))</f>
        <v>0</v>
      </c>
      <c r="N114" s="34">
        <f>SUM(B114:M114)</f>
        <v>604477.77929687488</v>
      </c>
    </row>
    <row r="115" spans="1:14" x14ac:dyDescent="0.25">
      <c r="A115" s="38" t="s">
        <v>510</v>
      </c>
      <c r="B115" s="32">
        <f>IF($C$9="Totalt",'4. Budsjettering -Drift'!D67,SUMIFS('4. Budsjettering -Drift'!D$10:D$61,'4. Budsjettering -Drift'!$A$10:$A$61,'5. Oppsummering Budsjett'!$A115,'4. Budsjettering -Drift'!$B$10:$B$61,'5. Oppsummering Budsjett'!$C$10))</f>
        <v>0</v>
      </c>
      <c r="C115" s="32">
        <f>IF($C$9="Totalt",'4. Budsjettering -Drift'!E67,SUMIFS('4. Budsjettering -Drift'!E$10:E$61,'4. Budsjettering -Drift'!$A$10:$A$61,'5. Oppsummering Budsjett'!$A115,'4. Budsjettering -Drift'!$B$10:$B$61,'5. Oppsummering Budsjett'!$C$10))</f>
        <v>0</v>
      </c>
      <c r="D115" s="32">
        <f>IF($C$9="Totalt",'4. Budsjettering -Drift'!F67,SUMIFS('4. Budsjettering -Drift'!F$10:F$61,'4. Budsjettering -Drift'!$A$10:$A$61,'5. Oppsummering Budsjett'!$A115,'4. Budsjettering -Drift'!$B$10:$B$61,'5. Oppsummering Budsjett'!$C$10))</f>
        <v>0</v>
      </c>
      <c r="E115" s="32">
        <f>IF($C$9="Totalt",'4. Budsjettering -Drift'!G67,SUMIFS('4. Budsjettering -Drift'!G$10:G$61,'4. Budsjettering -Drift'!$A$10:$A$61,'5. Oppsummering Budsjett'!$A115,'4. Budsjettering -Drift'!$B$10:$B$61,'5. Oppsummering Budsjett'!$C$10))</f>
        <v>0</v>
      </c>
      <c r="F115" s="32">
        <f>IF($C$9="Totalt",'4. Budsjettering -Drift'!H67,SUMIFS('4. Budsjettering -Drift'!H$10:H$61,'4. Budsjettering -Drift'!$A$10:$A$61,'5. Oppsummering Budsjett'!$A115,'4. Budsjettering -Drift'!$B$10:$B$61,'5. Oppsummering Budsjett'!$C$10))</f>
        <v>0</v>
      </c>
      <c r="G115" s="32">
        <f>IF($C$9="Totalt",'4. Budsjettering -Drift'!I67,SUMIFS('4. Budsjettering -Drift'!I$10:I$61,'4. Budsjettering -Drift'!$A$10:$A$61,'5. Oppsummering Budsjett'!$A115,'4. Budsjettering -Drift'!$B$10:$B$61,'5. Oppsummering Budsjett'!$C$10))</f>
        <v>0</v>
      </c>
      <c r="H115" s="32">
        <f>IF($C$9="Totalt",'4. Budsjettering -Drift'!J67,SUMIFS('4. Budsjettering -Drift'!J$10:J$61,'4. Budsjettering -Drift'!$A$10:$A$61,'5. Oppsummering Budsjett'!$A115,'4. Budsjettering -Drift'!$B$10:$B$61,'5. Oppsummering Budsjett'!$C$10))</f>
        <v>0</v>
      </c>
      <c r="I115" s="32">
        <f>IF($C$9="Totalt",'4. Budsjettering -Drift'!K67,SUMIFS('4. Budsjettering -Drift'!K$10:K$61,'4. Budsjettering -Drift'!$A$10:$A$61,'5. Oppsummering Budsjett'!$A115,'4. Budsjettering -Drift'!$B$10:$B$61,'5. Oppsummering Budsjett'!$C$10))</f>
        <v>0</v>
      </c>
      <c r="J115" s="32">
        <f>IF($C$9="Totalt",'4. Budsjettering -Drift'!L67,SUMIFS('4. Budsjettering -Drift'!L$10:L$61,'4. Budsjettering -Drift'!$A$10:$A$61,'5. Oppsummering Budsjett'!$A115,'4. Budsjettering -Drift'!$B$10:$B$61,'5. Oppsummering Budsjett'!$C$10))</f>
        <v>0</v>
      </c>
      <c r="K115" s="32">
        <f>IF($C$9="Totalt",'4. Budsjettering -Drift'!M67,SUMIFS('4. Budsjettering -Drift'!M$10:M$61,'4. Budsjettering -Drift'!$A$10:$A$61,'5. Oppsummering Budsjett'!$A115,'4. Budsjettering -Drift'!$B$10:$B$61,'5. Oppsummering Budsjett'!$C$10))</f>
        <v>0</v>
      </c>
      <c r="L115" s="32">
        <f>IF($C$9="Totalt",'4. Budsjettering -Drift'!N67,SUMIFS('4. Budsjettering -Drift'!N$10:N$61,'4. Budsjettering -Drift'!$A$10:$A$61,'5. Oppsummering Budsjett'!$A115,'4. Budsjettering -Drift'!$B$10:$B$61,'5. Oppsummering Budsjett'!$C$10))</f>
        <v>0</v>
      </c>
      <c r="M115" s="32">
        <f>IF($C$9="Totalt",'4. Budsjettering -Drift'!O67,SUMIFS('4. Budsjettering -Drift'!O$10:O$61,'4. Budsjettering -Drift'!$A$10:$A$61,'5. Oppsummering Budsjett'!$A115,'4. Budsjettering -Drift'!$B$10:$B$61,'5. Oppsummering Budsjett'!$C$10))</f>
        <v>0</v>
      </c>
      <c r="N115" s="34">
        <f>SUM(B115:M115)</f>
        <v>0</v>
      </c>
    </row>
    <row r="116" spans="1:14" x14ac:dyDescent="0.25">
      <c r="A116" s="38" t="str">
        <f>'4. Budsjettering -Drift'!C68</f>
        <v>Andre leiested</v>
      </c>
      <c r="B116" s="32">
        <f>IF($C$9="Totalt",'4. Budsjettering -Drift'!D68,SUMIFS('4. Budsjettering -Drift'!D$10:D$61,'4. Budsjettering -Drift'!$A$10:$A$61,'5. Oppsummering Budsjett'!$A116,'4. Budsjettering -Drift'!$B$10:$B$61,'5. Oppsummering Budsjett'!$C$10))</f>
        <v>0</v>
      </c>
      <c r="C116" s="32">
        <f>IF($C$9="Totalt",'4. Budsjettering -Drift'!E68,SUMIFS('4. Budsjettering -Drift'!E$10:E$61,'4. Budsjettering -Drift'!$A$10:$A$61,'5. Oppsummering Budsjett'!$A116,'4. Budsjettering -Drift'!$B$10:$B$61,'5. Oppsummering Budsjett'!$C$10))</f>
        <v>0</v>
      </c>
      <c r="D116" s="32">
        <f>IF($C$9="Totalt",'4. Budsjettering -Drift'!F68,SUMIFS('4. Budsjettering -Drift'!F$10:F$61,'4. Budsjettering -Drift'!$A$10:$A$61,'5. Oppsummering Budsjett'!$A116,'4. Budsjettering -Drift'!$B$10:$B$61,'5. Oppsummering Budsjett'!$C$10))</f>
        <v>0</v>
      </c>
      <c r="E116" s="32">
        <f>IF($C$9="Totalt",'4. Budsjettering -Drift'!G68,SUMIFS('4. Budsjettering -Drift'!G$10:G$61,'4. Budsjettering -Drift'!$A$10:$A$61,'5. Oppsummering Budsjett'!$A116,'4. Budsjettering -Drift'!$B$10:$B$61,'5. Oppsummering Budsjett'!$C$10))</f>
        <v>0</v>
      </c>
      <c r="F116" s="32">
        <f>IF($C$9="Totalt",'4. Budsjettering -Drift'!H68,SUMIFS('4. Budsjettering -Drift'!H$10:H$61,'4. Budsjettering -Drift'!$A$10:$A$61,'5. Oppsummering Budsjett'!$A116,'4. Budsjettering -Drift'!$B$10:$B$61,'5. Oppsummering Budsjett'!$C$10))</f>
        <v>0</v>
      </c>
      <c r="G116" s="32">
        <f>IF($C$9="Totalt",'4. Budsjettering -Drift'!I68,SUMIFS('4. Budsjettering -Drift'!I$10:I$61,'4. Budsjettering -Drift'!$A$10:$A$61,'5. Oppsummering Budsjett'!$A116,'4. Budsjettering -Drift'!$B$10:$B$61,'5. Oppsummering Budsjett'!$C$10))</f>
        <v>0</v>
      </c>
      <c r="H116" s="32">
        <f>IF($C$9="Totalt",'4. Budsjettering -Drift'!J68,SUMIFS('4. Budsjettering -Drift'!J$10:J$61,'4. Budsjettering -Drift'!$A$10:$A$61,'5. Oppsummering Budsjett'!$A116,'4. Budsjettering -Drift'!$B$10:$B$61,'5. Oppsummering Budsjett'!$C$10))</f>
        <v>0</v>
      </c>
      <c r="I116" s="32">
        <f>IF($C$9="Totalt",'4. Budsjettering -Drift'!K68,SUMIFS('4. Budsjettering -Drift'!K$10:K$61,'4. Budsjettering -Drift'!$A$10:$A$61,'5. Oppsummering Budsjett'!$A116,'4. Budsjettering -Drift'!$B$10:$B$61,'5. Oppsummering Budsjett'!$C$10))</f>
        <v>0</v>
      </c>
      <c r="J116" s="32">
        <f>IF($C$9="Totalt",'4. Budsjettering -Drift'!L68,SUMIFS('4. Budsjettering -Drift'!L$10:L$61,'4. Budsjettering -Drift'!$A$10:$A$61,'5. Oppsummering Budsjett'!$A116,'4. Budsjettering -Drift'!$B$10:$B$61,'5. Oppsummering Budsjett'!$C$10))</f>
        <v>0</v>
      </c>
      <c r="K116" s="32">
        <f>IF($C$9="Totalt",'4. Budsjettering -Drift'!M68,SUMIFS('4. Budsjettering -Drift'!M$10:M$61,'4. Budsjettering -Drift'!$A$10:$A$61,'5. Oppsummering Budsjett'!$A116,'4. Budsjettering -Drift'!$B$10:$B$61,'5. Oppsummering Budsjett'!$C$10))</f>
        <v>0</v>
      </c>
      <c r="L116" s="32">
        <f>IF($C$9="Totalt",'4. Budsjettering -Drift'!N68,SUMIFS('4. Budsjettering -Drift'!N$10:N$61,'4. Budsjettering -Drift'!$A$10:$A$61,'5. Oppsummering Budsjett'!$A116,'4. Budsjettering -Drift'!$B$10:$B$61,'5. Oppsummering Budsjett'!$C$10))</f>
        <v>0</v>
      </c>
      <c r="M116" s="32">
        <f>IF($C$9="Totalt",'4. Budsjettering -Drift'!O68,SUMIFS('4. Budsjettering -Drift'!O$10:O$61,'4. Budsjettering -Drift'!$A$10:$A$61,'5. Oppsummering Budsjett'!$A116,'4. Budsjettering -Drift'!$B$10:$B$61,'5. Oppsummering Budsjett'!$C$10))</f>
        <v>0</v>
      </c>
      <c r="N116" s="34">
        <f t="shared" ref="N116:N119" si="48">SUM(B116:M116)</f>
        <v>0</v>
      </c>
    </row>
    <row r="117" spans="1:14" x14ac:dyDescent="0.25">
      <c r="A117" s="38" t="str">
        <f>'4. Budsjettering -Drift'!C69</f>
        <v>Investeringer</v>
      </c>
      <c r="B117" s="32">
        <f>IF($C$9="Totalt",'4. Budsjettering -Drift'!D69,SUMIFS('4. Budsjettering -Drift'!D$10:D$61,'4. Budsjettering -Drift'!$A$10:$A$61,'5. Oppsummering Budsjett'!$A117,'4. Budsjettering -Drift'!$B$10:$B$61,'5. Oppsummering Budsjett'!$C$10))</f>
        <v>65000</v>
      </c>
      <c r="C117" s="32">
        <f>IF($C$9="Totalt",'4. Budsjettering -Drift'!E69,SUMIFS('4. Budsjettering -Drift'!E$10:E$61,'4. Budsjettering -Drift'!$A$10:$A$61,'5. Oppsummering Budsjett'!$A117,'4. Budsjettering -Drift'!$B$10:$B$61,'5. Oppsummering Budsjett'!$C$10))</f>
        <v>15000</v>
      </c>
      <c r="D117" s="32">
        <f>IF($C$9="Totalt",'4. Budsjettering -Drift'!F69,SUMIFS('4. Budsjettering -Drift'!F$10:F$61,'4. Budsjettering -Drift'!$A$10:$A$61,'5. Oppsummering Budsjett'!$A117,'4. Budsjettering -Drift'!$B$10:$B$61,'5. Oppsummering Budsjett'!$C$10))</f>
        <v>15000</v>
      </c>
      <c r="E117" s="32">
        <f>IF($C$9="Totalt",'4. Budsjettering -Drift'!G69,SUMIFS('4. Budsjettering -Drift'!G$10:G$61,'4. Budsjettering -Drift'!$A$10:$A$61,'5. Oppsummering Budsjett'!$A117,'4. Budsjettering -Drift'!$B$10:$B$61,'5. Oppsummering Budsjett'!$C$10))</f>
        <v>15000</v>
      </c>
      <c r="F117" s="32">
        <f>IF($C$9="Totalt",'4. Budsjettering -Drift'!H69,SUMIFS('4. Budsjettering -Drift'!H$10:H$61,'4. Budsjettering -Drift'!$A$10:$A$61,'5. Oppsummering Budsjett'!$A117,'4. Budsjettering -Drift'!$B$10:$B$61,'5. Oppsummering Budsjett'!$C$10))</f>
        <v>15000</v>
      </c>
      <c r="G117" s="32">
        <f>IF($C$9="Totalt",'4. Budsjettering -Drift'!I69,SUMIFS('4. Budsjettering -Drift'!I$10:I$61,'4. Budsjettering -Drift'!$A$10:$A$61,'5. Oppsummering Budsjett'!$A117,'4. Budsjettering -Drift'!$B$10:$B$61,'5. Oppsummering Budsjett'!$C$10))</f>
        <v>0</v>
      </c>
      <c r="H117" s="32">
        <f>IF($C$9="Totalt",'4. Budsjettering -Drift'!J69,SUMIFS('4. Budsjettering -Drift'!J$10:J$61,'4. Budsjettering -Drift'!$A$10:$A$61,'5. Oppsummering Budsjett'!$A117,'4. Budsjettering -Drift'!$B$10:$B$61,'5. Oppsummering Budsjett'!$C$10))</f>
        <v>0</v>
      </c>
      <c r="I117" s="32">
        <f>IF($C$9="Totalt",'4. Budsjettering -Drift'!K69,SUMIFS('4. Budsjettering -Drift'!K$10:K$61,'4. Budsjettering -Drift'!$A$10:$A$61,'5. Oppsummering Budsjett'!$A117,'4. Budsjettering -Drift'!$B$10:$B$61,'5. Oppsummering Budsjett'!$C$10))</f>
        <v>0</v>
      </c>
      <c r="J117" s="32">
        <f>IF($C$9="Totalt",'4. Budsjettering -Drift'!L69,SUMIFS('4. Budsjettering -Drift'!L$10:L$61,'4. Budsjettering -Drift'!$A$10:$A$61,'5. Oppsummering Budsjett'!$A117,'4. Budsjettering -Drift'!$B$10:$B$61,'5. Oppsummering Budsjett'!$C$10))</f>
        <v>0</v>
      </c>
      <c r="K117" s="32">
        <f>IF($C$9="Totalt",'4. Budsjettering -Drift'!M69,SUMIFS('4. Budsjettering -Drift'!M$10:M$61,'4. Budsjettering -Drift'!$A$10:$A$61,'5. Oppsummering Budsjett'!$A117,'4. Budsjettering -Drift'!$B$10:$B$61,'5. Oppsummering Budsjett'!$C$10))</f>
        <v>0</v>
      </c>
      <c r="L117" s="32">
        <f>IF($C$9="Totalt",'4. Budsjettering -Drift'!N69,SUMIFS('4. Budsjettering -Drift'!N$10:N$61,'4. Budsjettering -Drift'!$A$10:$A$61,'5. Oppsummering Budsjett'!$A117,'4. Budsjettering -Drift'!$B$10:$B$61,'5. Oppsummering Budsjett'!$C$10))</f>
        <v>0</v>
      </c>
      <c r="M117" s="32">
        <f>IF($C$9="Totalt",'4. Budsjettering -Drift'!O69,SUMIFS('4. Budsjettering -Drift'!O$10:O$61,'4. Budsjettering -Drift'!$A$10:$A$61,'5. Oppsummering Budsjett'!$A117,'4. Budsjettering -Drift'!$B$10:$B$61,'5. Oppsummering Budsjett'!$C$10))</f>
        <v>0</v>
      </c>
      <c r="N117" s="34">
        <f t="shared" si="48"/>
        <v>125000</v>
      </c>
    </row>
    <row r="118" spans="1:14" x14ac:dyDescent="0.25">
      <c r="A118" s="111" t="str">
        <f>'4. Budsjettering -Drift'!C70</f>
        <v>Eget leiested</v>
      </c>
      <c r="B118" s="32">
        <f>IF($C$9="Totalt",'4. Budsjettering -Drift'!D70,SUMIFS('4. Budsjettering -Drift'!D$10:D$61,'4. Budsjettering -Drift'!$A$10:$A$61,'5. Oppsummering Budsjett'!$A118,'4. Budsjettering -Drift'!$B$10:$B$61,'5. Oppsummering Budsjett'!$C$10))</f>
        <v>230000</v>
      </c>
      <c r="C118" s="32">
        <f>IF($C$9="Totalt",'4. Budsjettering -Drift'!E70,SUMIFS('4. Budsjettering -Drift'!E$10:E$61,'4. Budsjettering -Drift'!$A$10:$A$61,'5. Oppsummering Budsjett'!$A118,'4. Budsjettering -Drift'!$B$10:$B$61,'5. Oppsummering Budsjett'!$C$10))</f>
        <v>235749.99999999997</v>
      </c>
      <c r="D118" s="32">
        <f>IF($C$9="Totalt",'4. Budsjettering -Drift'!F70,SUMIFS('4. Budsjettering -Drift'!F$10:F$61,'4. Budsjettering -Drift'!$A$10:$A$61,'5. Oppsummering Budsjett'!$A118,'4. Budsjettering -Drift'!$B$10:$B$61,'5. Oppsummering Budsjett'!$C$10))</f>
        <v>241643.74999999994</v>
      </c>
      <c r="E118" s="32">
        <f>IF($C$9="Totalt",'4. Budsjettering -Drift'!G70,SUMIFS('4. Budsjettering -Drift'!G$10:G$61,'4. Budsjettering -Drift'!$A$10:$A$61,'5. Oppsummering Budsjett'!$A118,'4. Budsjettering -Drift'!$B$10:$B$61,'5. Oppsummering Budsjett'!$C$10))</f>
        <v>247684.84374999988</v>
      </c>
      <c r="F118" s="32">
        <f>IF($C$9="Totalt",'4. Budsjettering -Drift'!H70,SUMIFS('4. Budsjettering -Drift'!H$10:H$61,'4. Budsjettering -Drift'!$A$10:$A$61,'5. Oppsummering Budsjett'!$A118,'4. Budsjettering -Drift'!$B$10:$B$61,'5. Oppsummering Budsjett'!$C$10))</f>
        <v>55190.644531249971</v>
      </c>
      <c r="G118" s="32">
        <f>IF($C$9="Totalt",'4. Budsjettering -Drift'!I70,SUMIFS('4. Budsjettering -Drift'!I$10:I$61,'4. Budsjettering -Drift'!$A$10:$A$61,'5. Oppsummering Budsjett'!$A118,'4. Budsjettering -Drift'!$B$10:$B$61,'5. Oppsummering Budsjett'!$C$10))</f>
        <v>0</v>
      </c>
      <c r="H118" s="32">
        <f>IF($C$9="Totalt",'4. Budsjettering -Drift'!J70,SUMIFS('4. Budsjettering -Drift'!J$10:J$61,'4. Budsjettering -Drift'!$A$10:$A$61,'5. Oppsummering Budsjett'!$A118,'4. Budsjettering -Drift'!$B$10:$B$61,'5. Oppsummering Budsjett'!$C$10))</f>
        <v>0</v>
      </c>
      <c r="I118" s="32">
        <f>IF($C$9="Totalt",'4. Budsjettering -Drift'!K70,SUMIFS('4. Budsjettering -Drift'!K$10:K$61,'4. Budsjettering -Drift'!$A$10:$A$61,'5. Oppsummering Budsjett'!$A118,'4. Budsjettering -Drift'!$B$10:$B$61,'5. Oppsummering Budsjett'!$C$10))</f>
        <v>0</v>
      </c>
      <c r="J118" s="32">
        <f>IF($C$9="Totalt",'4. Budsjettering -Drift'!L70,SUMIFS('4. Budsjettering -Drift'!L$10:L$61,'4. Budsjettering -Drift'!$A$10:$A$61,'5. Oppsummering Budsjett'!$A118,'4. Budsjettering -Drift'!$B$10:$B$61,'5. Oppsummering Budsjett'!$C$10))</f>
        <v>0</v>
      </c>
      <c r="K118" s="32">
        <f>IF($C$9="Totalt",'4. Budsjettering -Drift'!M70,SUMIFS('4. Budsjettering -Drift'!M$10:M$61,'4. Budsjettering -Drift'!$A$10:$A$61,'5. Oppsummering Budsjett'!$A118,'4. Budsjettering -Drift'!$B$10:$B$61,'5. Oppsummering Budsjett'!$C$10))</f>
        <v>0</v>
      </c>
      <c r="L118" s="32">
        <f>IF($C$9="Totalt",'4. Budsjettering -Drift'!N70,SUMIFS('4. Budsjettering -Drift'!N$10:N$61,'4. Budsjettering -Drift'!$A$10:$A$61,'5. Oppsummering Budsjett'!$A118,'4. Budsjettering -Drift'!$B$10:$B$61,'5. Oppsummering Budsjett'!$C$10))</f>
        <v>0</v>
      </c>
      <c r="M118" s="32">
        <f>IF($C$9="Totalt",'4. Budsjettering -Drift'!O70,SUMIFS('4. Budsjettering -Drift'!O$10:O$61,'4. Budsjettering -Drift'!$A$10:$A$61,'5. Oppsummering Budsjett'!$A118,'4. Budsjettering -Drift'!$B$10:$B$61,'5. Oppsummering Budsjett'!$C$10))</f>
        <v>0</v>
      </c>
      <c r="N118" s="34">
        <f t="shared" si="48"/>
        <v>1010269.2382812499</v>
      </c>
    </row>
    <row r="119" spans="1:14" x14ac:dyDescent="0.25">
      <c r="A119" s="38" t="str">
        <f>'4. Budsjettering -Drift'!C71</f>
        <v>Andre driftskostnader</v>
      </c>
      <c r="B119" s="32">
        <f>IF($C$9="Totalt",'4. Budsjettering -Drift'!D71,SUMIFS('4. Budsjettering -Drift'!D$10:D$61,'4. Budsjettering -Drift'!$A$10:$A$61,'5. Oppsummering Budsjett'!$A119,'4. Budsjettering -Drift'!$B$10:$B$61,'5. Oppsummering Budsjett'!$C$10))</f>
        <v>50000</v>
      </c>
      <c r="C119" s="32">
        <f>IF($C$9="Totalt",'4. Budsjettering -Drift'!E71,SUMIFS('4. Budsjettering -Drift'!E$10:E$61,'4. Budsjettering -Drift'!$A$10:$A$61,'5. Oppsummering Budsjett'!$A119,'4. Budsjettering -Drift'!$B$10:$B$61,'5. Oppsummering Budsjett'!$C$10))</f>
        <v>51249.999999999993</v>
      </c>
      <c r="D119" s="32">
        <f>IF($C$9="Totalt",'4. Budsjettering -Drift'!F71,SUMIFS('4. Budsjettering -Drift'!F$10:F$61,'4. Budsjettering -Drift'!$A$10:$A$61,'5. Oppsummering Budsjett'!$A119,'4. Budsjettering -Drift'!$B$10:$B$61,'5. Oppsummering Budsjett'!$C$10))</f>
        <v>52531.249999999985</v>
      </c>
      <c r="E119" s="32">
        <f>IF($C$9="Totalt",'4. Budsjettering -Drift'!G71,SUMIFS('4. Budsjettering -Drift'!G$10:G$61,'4. Budsjettering -Drift'!$A$10:$A$61,'5. Oppsummering Budsjett'!$A119,'4. Budsjettering -Drift'!$B$10:$B$61,'5. Oppsummering Budsjett'!$C$10))</f>
        <v>53844.531249999978</v>
      </c>
      <c r="F119" s="32">
        <f>IF($C$9="Totalt",'4. Budsjettering -Drift'!H71,SUMIFS('4. Budsjettering -Drift'!H$10:H$61,'4. Budsjettering -Drift'!$A$10:$A$61,'5. Oppsummering Budsjett'!$A119,'4. Budsjettering -Drift'!$B$10:$B$61,'5. Oppsummering Budsjett'!$C$10))</f>
        <v>55190.644531249971</v>
      </c>
      <c r="G119" s="32">
        <f>IF($C$9="Totalt",'4. Budsjettering -Drift'!I71,SUMIFS('4. Budsjettering -Drift'!I$10:I$61,'4. Budsjettering -Drift'!$A$10:$A$61,'5. Oppsummering Budsjett'!$A119,'4. Budsjettering -Drift'!$B$10:$B$61,'5. Oppsummering Budsjett'!$C$10))</f>
        <v>0</v>
      </c>
      <c r="H119" s="32">
        <f>IF($C$9="Totalt",'4. Budsjettering -Drift'!J71,SUMIFS('4. Budsjettering -Drift'!J$10:J$61,'4. Budsjettering -Drift'!$A$10:$A$61,'5. Oppsummering Budsjett'!$A119,'4. Budsjettering -Drift'!$B$10:$B$61,'5. Oppsummering Budsjett'!$C$10))</f>
        <v>0</v>
      </c>
      <c r="I119" s="32">
        <f>IF($C$9="Totalt",'4. Budsjettering -Drift'!K71,SUMIFS('4. Budsjettering -Drift'!K$10:K$61,'4. Budsjettering -Drift'!$A$10:$A$61,'5. Oppsummering Budsjett'!$A119,'4. Budsjettering -Drift'!$B$10:$B$61,'5. Oppsummering Budsjett'!$C$10))</f>
        <v>0</v>
      </c>
      <c r="J119" s="32">
        <f>IF($C$9="Totalt",'4. Budsjettering -Drift'!L71,SUMIFS('4. Budsjettering -Drift'!L$10:L$61,'4. Budsjettering -Drift'!$A$10:$A$61,'5. Oppsummering Budsjett'!$A119,'4. Budsjettering -Drift'!$B$10:$B$61,'5. Oppsummering Budsjett'!$C$10))</f>
        <v>0</v>
      </c>
      <c r="K119" s="32">
        <f>IF($C$9="Totalt",'4. Budsjettering -Drift'!M71,SUMIFS('4. Budsjettering -Drift'!M$10:M$61,'4. Budsjettering -Drift'!$A$10:$A$61,'5. Oppsummering Budsjett'!$A119,'4. Budsjettering -Drift'!$B$10:$B$61,'5. Oppsummering Budsjett'!$C$10))</f>
        <v>0</v>
      </c>
      <c r="L119" s="32">
        <f>IF($C$9="Totalt",'4. Budsjettering -Drift'!N71,SUMIFS('4. Budsjettering -Drift'!N$10:N$61,'4. Budsjettering -Drift'!$A$10:$A$61,'5. Oppsummering Budsjett'!$A119,'4. Budsjettering -Drift'!$B$10:$B$61,'5. Oppsummering Budsjett'!$C$10))</f>
        <v>0</v>
      </c>
      <c r="M119" s="32">
        <f>IF($C$9="Totalt",'4. Budsjettering -Drift'!O71,SUMIFS('4. Budsjettering -Drift'!O$10:O$61,'4. Budsjettering -Drift'!$A$10:$A$61,'5. Oppsummering Budsjett'!$A119,'4. Budsjettering -Drift'!$B$10:$B$61,'5. Oppsummering Budsjett'!$C$10))</f>
        <v>0</v>
      </c>
      <c r="N119" s="34">
        <f t="shared" si="48"/>
        <v>262816.42578124994</v>
      </c>
    </row>
    <row r="120" spans="1:14" ht="15.75" thickBot="1" x14ac:dyDescent="0.3">
      <c r="A120" s="112" t="str">
        <f>'4. Budsjettering -Drift'!C72</f>
        <v>Sum</v>
      </c>
      <c r="B120" s="33">
        <f>SUM(B114:B119)</f>
        <v>460000</v>
      </c>
      <c r="C120" s="33">
        <f t="shared" ref="C120:M120" si="49">SUM(C114:C119)</f>
        <v>419875</v>
      </c>
      <c r="D120" s="33">
        <f t="shared" si="49"/>
        <v>429996.87499999988</v>
      </c>
      <c r="E120" s="33">
        <f t="shared" si="49"/>
        <v>440371.79687499983</v>
      </c>
      <c r="F120" s="33">
        <f t="shared" si="49"/>
        <v>252319.77148437488</v>
      </c>
      <c r="G120" s="33">
        <f t="shared" si="49"/>
        <v>0</v>
      </c>
      <c r="H120" s="33">
        <f t="shared" si="49"/>
        <v>0</v>
      </c>
      <c r="I120" s="33">
        <f t="shared" si="49"/>
        <v>0</v>
      </c>
      <c r="J120" s="33">
        <f t="shared" si="49"/>
        <v>0</v>
      </c>
      <c r="K120" s="33">
        <f t="shared" si="49"/>
        <v>0</v>
      </c>
      <c r="L120" s="33">
        <f t="shared" si="49"/>
        <v>0</v>
      </c>
      <c r="M120" s="33">
        <f t="shared" si="49"/>
        <v>0</v>
      </c>
      <c r="N120" s="35">
        <f>SUM(N114:N119)</f>
        <v>2002563.4433593748</v>
      </c>
    </row>
  </sheetData>
  <mergeCells count="7">
    <mergeCell ref="P13:U13"/>
    <mergeCell ref="A112:N112"/>
    <mergeCell ref="A91:N91"/>
    <mergeCell ref="A98:N98"/>
    <mergeCell ref="A13:N13"/>
    <mergeCell ref="A105:N105"/>
    <mergeCell ref="A24:B24"/>
  </mergeCells>
  <conditionalFormatting sqref="A10:C10">
    <cfRule type="expression" dxfId="4" priority="4">
      <formula>$C$9&lt;&gt;"Hovedaktivitet"</formula>
    </cfRule>
  </conditionalFormatting>
  <conditionalFormatting sqref="P29:U29">
    <cfRule type="expression" dxfId="3" priority="3">
      <formula>$C$9="Hovedaktivitet"</formula>
    </cfRule>
  </conditionalFormatting>
  <conditionalFormatting sqref="A26:N34">
    <cfRule type="expression" dxfId="2" priority="2">
      <formula>$C$9&lt;&gt;"Totalt"</formula>
    </cfRule>
  </conditionalFormatting>
  <conditionalFormatting sqref="A38:N49">
    <cfRule type="expression" dxfId="1" priority="1">
      <formula>$C$9&lt;&gt;"Totalt"</formula>
    </cfRule>
  </conditionalFormatting>
  <dataValidations count="1">
    <dataValidation type="list" allowBlank="1" showInputMessage="1" showErrorMessage="1" sqref="C9">
      <formula1>"Totalt,Hovedaktivitet"</formula1>
    </dataValidation>
  </dataValidations>
  <pageMargins left="0.7" right="0.7" top="0.75" bottom="0.75" header="0.3" footer="0.3"/>
  <pageSetup paperSize="9" orientation="portrait" r:id="rId1"/>
  <ignoredErrors>
    <ignoredError sqref="B26:F26 C27:F27" unlockedFormula="1"/>
  </ignoredErrors>
  <drawing r:id="rId2"/>
  <legacyDrawing r:id="rId3"/>
  <extLst>
    <ext xmlns:x14="http://schemas.microsoft.com/office/spreadsheetml/2009/9/main" uri="{CCE6A557-97BC-4b89-ADB6-D9C93CAAB3DF}">
      <x14:dataValidations xmlns:xm="http://schemas.microsoft.com/office/excel/2006/main" count="1">
        <x14:dataValidation type="whole" operator="lessThanOrEqual" allowBlank="1" showInputMessage="1" showErrorMessage="1" error="Nummeret må være &lt;= antall hovedaktiviteter registrert i 1.Prosjektinfo">
          <x14:formula1>
            <xm:f>'1. Prosjektinfo'!B9</xm:f>
          </x14:formula1>
          <xm:sqref>C10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topLeftCell="A31" workbookViewId="0">
      <selection activeCell="C62" sqref="C62"/>
    </sheetView>
  </sheetViews>
  <sheetFormatPr baseColWidth="10" defaultColWidth="11.42578125" defaultRowHeight="15" outlineLevelCol="1" x14ac:dyDescent="0.25"/>
  <cols>
    <col min="1" max="1" width="46.7109375" customWidth="1"/>
    <col min="4" max="4" width="11.28515625" customWidth="1"/>
    <col min="5" max="5" width="11.28515625" style="177" customWidth="1"/>
    <col min="8" max="13" width="11.42578125" hidden="1" customWidth="1" outlineLevel="1"/>
    <col min="14" max="14" width="11.7109375" bestFit="1" customWidth="1" collapsed="1"/>
  </cols>
  <sheetData>
    <row r="1" spans="1:15" x14ac:dyDescent="0.25">
      <c r="A1" s="57"/>
      <c r="B1" t="s">
        <v>370</v>
      </c>
    </row>
    <row r="2" spans="1:15" ht="15.75" thickBot="1" x14ac:dyDescent="0.3">
      <c r="A2" s="152"/>
    </row>
    <row r="3" spans="1:15" x14ac:dyDescent="0.25">
      <c r="A3" s="185" t="s">
        <v>511</v>
      </c>
      <c r="B3" s="179">
        <v>1</v>
      </c>
      <c r="C3" s="179">
        <f>IF(B3&lt;'1. Prosjektinfo'!$B$9,B3+1,"")</f>
        <v>2</v>
      </c>
      <c r="D3" s="179" t="str">
        <f>IF(C3&lt;'1. Prosjektinfo'!$B$9,C3+1,"")</f>
        <v/>
      </c>
      <c r="E3" s="179" t="str">
        <f>IF(D3&lt;'1. Prosjektinfo'!$B$9,D3+1,"")</f>
        <v/>
      </c>
      <c r="F3" s="179" t="str">
        <f>IF(E3&lt;'1. Prosjektinfo'!$B$9,E3+1,"")</f>
        <v/>
      </c>
      <c r="G3" s="179" t="str">
        <f>IF(F3&lt;'1. Prosjektinfo'!$B$9,F3+1,"")</f>
        <v/>
      </c>
      <c r="H3" s="179" t="str">
        <f>IF(G3&lt;'1. Prosjektinfo'!$B$9,G3+1,"")</f>
        <v/>
      </c>
      <c r="I3" s="179" t="str">
        <f>IF(H3&lt;'1. Prosjektinfo'!$B$9,H3+1,"")</f>
        <v/>
      </c>
      <c r="J3" s="179" t="str">
        <f>IF(I3&lt;'1. Prosjektinfo'!$B$9,I3+1,"")</f>
        <v/>
      </c>
      <c r="K3" s="179" t="str">
        <f>IF(J3&lt;'1. Prosjektinfo'!$B$9,J3+1,"")</f>
        <v/>
      </c>
      <c r="L3" s="179" t="str">
        <f>IF(K3&lt;'1. Prosjektinfo'!$B$9,K3+1,"")</f>
        <v/>
      </c>
      <c r="M3" s="179" t="str">
        <f>IF(L3&lt;'1. Prosjektinfo'!$B$9,L3+1,"")</f>
        <v/>
      </c>
      <c r="N3" s="287" t="s">
        <v>91</v>
      </c>
    </row>
    <row r="4" spans="1:15" hidden="1" x14ac:dyDescent="0.25">
      <c r="A4" s="286"/>
      <c r="B4">
        <f>ROUND(((SUMIF('2. Budsjettering - Direkte lønn'!$B$71:$B$110,'6. NFR-søknad'!B3,'2. Budsjettering - Direkte lønn'!$AB$71:$AB$110)+SUMIF('3. Budsjettering - Timer'!$B$67:$B$106,'6. NFR-søknad'!B3,'3. Budsjettering - Timer'!$AA$67:$AA$106)+SUMIF('4. Budsjettering -Drift'!$B$10:$B$60,'6. NFR-søknad'!B3,'4. Budsjettering -Drift'!$P$10:$P$60))/1000),0)</f>
        <v>842</v>
      </c>
      <c r="C4">
        <f>ROUND(((SUMIF('2. Budsjettering - Direkte lønn'!$B$71:$B$110,'6. NFR-søknad'!C3,'2. Budsjettering - Direkte lønn'!$AB$71:$AB$110)+SUMIF('3. Budsjettering - Timer'!$B$67:$B$106,'6. NFR-søknad'!C3,'3. Budsjettering - Timer'!$AA$67:$AA$106)+SUMIF('4. Budsjettering -Drift'!$B$10:$B$60,'6. NFR-søknad'!C3,'4. Budsjettering -Drift'!$P$10:$P$60))/1000),0)</f>
        <v>12168</v>
      </c>
      <c r="D4">
        <f>ROUND(((SUMIF('2. Budsjettering - Direkte lønn'!$B$71:$B$110,'6. NFR-søknad'!D3,'2. Budsjettering - Direkte lønn'!$AB$71:$AB$110)+SUMIF('3. Budsjettering - Timer'!$B$67:$B$106,'6. NFR-søknad'!D3,'3. Budsjettering - Timer'!$AA$67:$AA$106)+SUMIF('4. Budsjettering -Drift'!$B$10:$B$60,'6. NFR-søknad'!D3,'4. Budsjettering -Drift'!$P$10:$P$60))/1000),0)</f>
        <v>0</v>
      </c>
      <c r="E4">
        <f>ROUND(((SUMIF('2. Budsjettering - Direkte lønn'!$B$71:$B$110,'6. NFR-søknad'!E3,'2. Budsjettering - Direkte lønn'!$AB$71:$AB$110)+SUMIF('3. Budsjettering - Timer'!$B$67:$B$106,'6. NFR-søknad'!E3,'3. Budsjettering - Timer'!$AA$67:$AA$106)+SUMIF('4. Budsjettering -Drift'!$B$10:$B$60,'6. NFR-søknad'!E3,'4. Budsjettering -Drift'!$P$10:$P$60))/1000),0)</f>
        <v>0</v>
      </c>
      <c r="F4">
        <f>ROUND(((SUMIF('2. Budsjettering - Direkte lønn'!$B$71:$B$110,'6. NFR-søknad'!F3,'2. Budsjettering - Direkte lønn'!$AB$71:$AB$110)+SUMIF('3. Budsjettering - Timer'!$B$67:$B$106,'6. NFR-søknad'!F3,'3. Budsjettering - Timer'!$AA$67:$AA$106)+SUMIF('4. Budsjettering -Drift'!$B$10:$B$60,'6. NFR-søknad'!F3,'4. Budsjettering -Drift'!$P$10:$P$60))/1000),0)</f>
        <v>0</v>
      </c>
      <c r="G4">
        <f>ROUND(((SUMIF('2. Budsjettering - Direkte lønn'!$B$71:$B$110,'6. NFR-søknad'!G3,'2. Budsjettering - Direkte lønn'!$AB$71:$AB$110)+SUMIF('3. Budsjettering - Timer'!$B$67:$B$106,'6. NFR-søknad'!G3,'3. Budsjettering - Timer'!$AA$67:$AA$106)+SUMIF('4. Budsjettering -Drift'!$B$10:$B$60,'6. NFR-søknad'!G3,'4. Budsjettering -Drift'!$P$10:$P$60))/1000),0)</f>
        <v>0</v>
      </c>
      <c r="H4">
        <f>ROUND(((SUMIF('2. Budsjettering - Direkte lønn'!$B$71:$B$110,'6. NFR-søknad'!H3,'2. Budsjettering - Direkte lønn'!$AB$71:$AB$110)+SUMIF('3. Budsjettering - Timer'!$B$67:$B$106,'6. NFR-søknad'!H3,'3. Budsjettering - Timer'!$AA$67:$AA$106)+SUMIF('4. Budsjettering -Drift'!$B$10:$B$60,'6. NFR-søknad'!H3,'4. Budsjettering -Drift'!$P$10:$P$60))/1000),0)</f>
        <v>0</v>
      </c>
      <c r="I4">
        <f>ROUND(((SUMIF('2. Budsjettering - Direkte lønn'!$B$71:$B$110,'6. NFR-søknad'!I3,'2. Budsjettering - Direkte lønn'!$AB$71:$AB$110)+SUMIF('3. Budsjettering - Timer'!$B$67:$B$106,'6. NFR-søknad'!I3,'3. Budsjettering - Timer'!$AA$67:$AA$106)+SUMIF('4. Budsjettering -Drift'!$B$10:$B$60,'6. NFR-søknad'!I3,'4. Budsjettering -Drift'!$P$10:$P$60))/1000),0)</f>
        <v>0</v>
      </c>
      <c r="J4">
        <f>ROUND(((SUMIF('2. Budsjettering - Direkte lønn'!$B$71:$B$110,'6. NFR-søknad'!J3,'2. Budsjettering - Direkte lønn'!$AB$71:$AB$110)+SUMIF('3. Budsjettering - Timer'!$B$67:$B$106,'6. NFR-søknad'!J3,'3. Budsjettering - Timer'!$AA$67:$AA$106)+SUMIF('4. Budsjettering -Drift'!$B$10:$B$60,'6. NFR-søknad'!J3,'4. Budsjettering -Drift'!$P$10:$P$60))/1000),0)</f>
        <v>0</v>
      </c>
      <c r="K4">
        <f>ROUND(((SUMIF('2. Budsjettering - Direkte lønn'!$B$71:$B$110,'6. NFR-søknad'!K3,'2. Budsjettering - Direkte lønn'!$AB$71:$AB$110)+SUMIF('3. Budsjettering - Timer'!$B$67:$B$106,'6. NFR-søknad'!K3,'3. Budsjettering - Timer'!$AA$67:$AA$106)+SUMIF('4. Budsjettering -Drift'!$B$10:$B$60,'6. NFR-søknad'!K3,'4. Budsjettering -Drift'!$P$10:$P$60))/1000),0)</f>
        <v>0</v>
      </c>
      <c r="L4">
        <f>ROUND(((SUMIF('2. Budsjettering - Direkte lønn'!$B$71:$B$110,'6. NFR-søknad'!L3,'2. Budsjettering - Direkte lønn'!$AB$71:$AB$110)+SUMIF('3. Budsjettering - Timer'!$B$67:$B$106,'6. NFR-søknad'!L3,'3. Budsjettering - Timer'!$AA$67:$AA$106)+SUMIF('4. Budsjettering -Drift'!$B$10:$B$60,'6. NFR-søknad'!L3,'4. Budsjettering -Drift'!$P$10:$P$60))/1000),0)</f>
        <v>0</v>
      </c>
      <c r="M4">
        <f>ROUND(((SUMIF('2. Budsjettering - Direkte lønn'!$B$71:$B$110,'6. NFR-søknad'!M3,'2. Budsjettering - Direkte lønn'!$AB$71:$AB$110)+SUMIF('3. Budsjettering - Timer'!$B$67:$B$106,'6. NFR-søknad'!M3,'3. Budsjettering - Timer'!$AA$67:$AA$106)+SUMIF('4. Budsjettering -Drift'!$B$10:$B$60,'6. NFR-søknad'!M3,'4. Budsjettering -Drift'!$P$10:$P$60))/1000),0)</f>
        <v>0</v>
      </c>
      <c r="N4">
        <f>SUM(B4:M4)</f>
        <v>13010</v>
      </c>
      <c r="O4" s="177">
        <f>N4-N13</f>
        <v>-2.887806073158572E-2</v>
      </c>
    </row>
    <row r="5" spans="1:15" x14ac:dyDescent="0.25">
      <c r="A5" s="38" t="s">
        <v>87</v>
      </c>
      <c r="B5" s="182">
        <f>IF(B4&lt;&gt;0,B4-O4,0)</f>
        <v>842.02887806073159</v>
      </c>
      <c r="C5" s="182">
        <f>IF(C4&lt;&gt;0,C4,0)</f>
        <v>12168</v>
      </c>
      <c r="D5" s="182">
        <f t="shared" ref="D5:M5" si="0">IF(D4&lt;&gt;0,D4,0)</f>
        <v>0</v>
      </c>
      <c r="E5" s="182">
        <f t="shared" si="0"/>
        <v>0</v>
      </c>
      <c r="F5" s="182">
        <f t="shared" si="0"/>
        <v>0</v>
      </c>
      <c r="G5" s="182">
        <f t="shared" si="0"/>
        <v>0</v>
      </c>
      <c r="H5" s="182">
        <f t="shared" si="0"/>
        <v>0</v>
      </c>
      <c r="I5" s="182">
        <f t="shared" si="0"/>
        <v>0</v>
      </c>
      <c r="J5" s="182">
        <f t="shared" si="0"/>
        <v>0</v>
      </c>
      <c r="K5" s="182">
        <f t="shared" si="0"/>
        <v>0</v>
      </c>
      <c r="L5" s="182">
        <f t="shared" si="0"/>
        <v>0</v>
      </c>
      <c r="M5" s="182">
        <f t="shared" si="0"/>
        <v>0</v>
      </c>
      <c r="N5" s="288">
        <f>SUM(B5:M5)</f>
        <v>13010.028878060732</v>
      </c>
    </row>
    <row r="6" spans="1:15" x14ac:dyDescent="0.25">
      <c r="A6" s="150" t="s">
        <v>508</v>
      </c>
      <c r="B6" s="183">
        <f>B5</f>
        <v>842.02887806073159</v>
      </c>
      <c r="C6" s="183">
        <f t="shared" ref="C6:M6" si="1">C5</f>
        <v>12168</v>
      </c>
      <c r="D6" s="183">
        <f t="shared" si="1"/>
        <v>0</v>
      </c>
      <c r="E6" s="183">
        <f t="shared" si="1"/>
        <v>0</v>
      </c>
      <c r="F6" s="183">
        <f t="shared" si="1"/>
        <v>0</v>
      </c>
      <c r="G6" s="183">
        <f t="shared" si="1"/>
        <v>0</v>
      </c>
      <c r="H6" s="183">
        <f t="shared" si="1"/>
        <v>0</v>
      </c>
      <c r="I6" s="183">
        <f t="shared" si="1"/>
        <v>0</v>
      </c>
      <c r="J6" s="183">
        <f t="shared" si="1"/>
        <v>0</v>
      </c>
      <c r="K6" s="183">
        <f t="shared" si="1"/>
        <v>0</v>
      </c>
      <c r="L6" s="183">
        <f t="shared" si="1"/>
        <v>0</v>
      </c>
      <c r="M6" s="183">
        <f t="shared" si="1"/>
        <v>0</v>
      </c>
      <c r="N6" s="289">
        <f>SUM(B6:M6)</f>
        <v>13010.028878060732</v>
      </c>
    </row>
    <row r="7" spans="1:15" ht="15.75" thickBot="1" x14ac:dyDescent="0.3">
      <c r="B7" s="178"/>
      <c r="C7" s="178"/>
      <c r="D7" s="178"/>
      <c r="E7" s="178"/>
      <c r="F7" s="178"/>
      <c r="G7" s="178"/>
      <c r="H7" s="178"/>
      <c r="I7" s="178"/>
      <c r="J7" s="178"/>
      <c r="K7" s="178"/>
      <c r="L7" s="178"/>
      <c r="M7" s="178"/>
    </row>
    <row r="8" spans="1:15" x14ac:dyDescent="0.25">
      <c r="A8" s="185" t="s">
        <v>371</v>
      </c>
      <c r="B8" s="179">
        <f>YEAR('1. Prosjektinfo'!B6)</f>
        <v>2019</v>
      </c>
      <c r="C8" s="179">
        <f>B8+1</f>
        <v>2020</v>
      </c>
      <c r="D8" s="179">
        <f t="shared" ref="D8:K8" si="2">C8+1</f>
        <v>2021</v>
      </c>
      <c r="E8" s="179">
        <f t="shared" si="2"/>
        <v>2022</v>
      </c>
      <c r="F8" s="179">
        <f t="shared" si="2"/>
        <v>2023</v>
      </c>
      <c r="G8" s="179">
        <f t="shared" si="2"/>
        <v>2024</v>
      </c>
      <c r="H8" s="179">
        <f t="shared" si="2"/>
        <v>2025</v>
      </c>
      <c r="I8" s="179">
        <f t="shared" si="2"/>
        <v>2026</v>
      </c>
      <c r="J8" s="179">
        <f t="shared" si="2"/>
        <v>2027</v>
      </c>
      <c r="K8" s="179">
        <f t="shared" si="2"/>
        <v>2028</v>
      </c>
      <c r="L8" s="179">
        <f t="shared" ref="L8" si="3">K8+1</f>
        <v>2029</v>
      </c>
      <c r="M8" s="179">
        <f t="shared" ref="M8" si="4">L8+1</f>
        <v>2030</v>
      </c>
      <c r="N8" s="180" t="s">
        <v>79</v>
      </c>
    </row>
    <row r="9" spans="1:15" x14ac:dyDescent="0.25">
      <c r="A9" s="1" t="s">
        <v>372</v>
      </c>
      <c r="B9" s="16">
        <f>('2. Budsjettering - Direkte lønn'!D59+'3. Budsjettering - Timer'!D60)/1000</f>
        <v>1294.5545595263884</v>
      </c>
      <c r="C9" s="16">
        <f>('2. Budsjettering - Direkte lønn'!E59+'3. Budsjettering - Timer'!E60)/1000</f>
        <v>1464.3524003121802</v>
      </c>
      <c r="D9" s="16">
        <f>('2. Budsjettering - Direkte lønn'!F59+'3. Budsjettering - Timer'!F60)/1000</f>
        <v>3886.5739551428833</v>
      </c>
      <c r="E9" s="16">
        <f>('2. Budsjettering - Direkte lønn'!G59+'3. Budsjettering - Timer'!G60)/1000</f>
        <v>2761.8471143839779</v>
      </c>
      <c r="F9" s="16">
        <f>('2. Budsjettering - Direkte lønn'!H59+'3. Budsjettering - Timer'!H60)/1000</f>
        <v>1600.1374053359284</v>
      </c>
      <c r="G9" s="16">
        <f>('2. Budsjettering - Direkte lønn'!I59+'3. Budsjettering - Timer'!I60)/1000</f>
        <v>0</v>
      </c>
      <c r="H9" s="16">
        <f>('2. Budsjettering - Direkte lønn'!J59+'3. Budsjettering - Timer'!J60)/1000</f>
        <v>0</v>
      </c>
      <c r="I9" s="16">
        <f>('2. Budsjettering - Direkte lønn'!K59+'3. Budsjettering - Timer'!K60)/1000</f>
        <v>0</v>
      </c>
      <c r="J9" s="16">
        <f>('2. Budsjettering - Direkte lønn'!L59+'3. Budsjettering - Timer'!L60)/1000</f>
        <v>0</v>
      </c>
      <c r="K9" s="16">
        <f>('2. Budsjettering - Direkte lønn'!M59+'3. Budsjettering - Timer'!M60)/1000</f>
        <v>0</v>
      </c>
      <c r="L9" s="16">
        <f>('2. Budsjettering - Direkte lønn'!N59+'3. Budsjettering - Timer'!N60)/1000</f>
        <v>0</v>
      </c>
      <c r="M9" s="16">
        <f>('2. Budsjettering - Direkte lønn'!O59+'3. Budsjettering - Timer'!O60)/1000</f>
        <v>0</v>
      </c>
      <c r="N9" s="181">
        <f>SUM(B9:M9)</f>
        <v>11007.465434701358</v>
      </c>
    </row>
    <row r="10" spans="1:15" x14ac:dyDescent="0.25">
      <c r="A10" s="38" t="s">
        <v>449</v>
      </c>
      <c r="B10" s="16">
        <f>'4. Budsjettering -Drift'!D67/1000</f>
        <v>0</v>
      </c>
      <c r="C10" s="16">
        <f>'4. Budsjettering -Drift'!E67/1000</f>
        <v>0</v>
      </c>
      <c r="D10" s="16">
        <f>'4. Budsjettering -Drift'!F67/1000</f>
        <v>0</v>
      </c>
      <c r="E10" s="16">
        <f>'4. Budsjettering -Drift'!G67/1000</f>
        <v>0</v>
      </c>
      <c r="F10" s="16">
        <f>'4. Budsjettering -Drift'!H67/1000</f>
        <v>0</v>
      </c>
      <c r="G10" s="16">
        <f>'4. Budsjettering -Drift'!I67/1000</f>
        <v>0</v>
      </c>
      <c r="H10" s="16">
        <f>'4. Budsjettering -Drift'!J67/1000</f>
        <v>0</v>
      </c>
      <c r="I10" s="16">
        <f>'4. Budsjettering -Drift'!K67/1000</f>
        <v>0</v>
      </c>
      <c r="J10" s="16">
        <f>'4. Budsjettering -Drift'!L67/1000</f>
        <v>0</v>
      </c>
      <c r="K10" s="16">
        <f>'4. Budsjettering -Drift'!M67/1000</f>
        <v>0</v>
      </c>
      <c r="L10" s="16">
        <f>'4. Budsjettering -Drift'!N67/1000</f>
        <v>0</v>
      </c>
      <c r="M10" s="16">
        <f>'4. Budsjettering -Drift'!O67/1000</f>
        <v>0</v>
      </c>
      <c r="N10" s="181">
        <f>SUM(B10:M10)</f>
        <v>0</v>
      </c>
    </row>
    <row r="11" spans="1:15" x14ac:dyDescent="0.25">
      <c r="A11" s="38" t="s">
        <v>373</v>
      </c>
      <c r="B11" s="16">
        <f>SUM('4. Budsjettering -Drift'!D68:D70)/1000</f>
        <v>295</v>
      </c>
      <c r="C11" s="16">
        <f>SUM('4. Budsjettering -Drift'!E68:E70)/1000</f>
        <v>250.74999999999997</v>
      </c>
      <c r="D11" s="16">
        <f>SUM('4. Budsjettering -Drift'!F68:F70)/1000</f>
        <v>256.64374999999995</v>
      </c>
      <c r="E11" s="16">
        <f>SUM('4. Budsjettering -Drift'!G68:G70)/1000</f>
        <v>262.68484374999986</v>
      </c>
      <c r="F11" s="16">
        <f>SUM('4. Budsjettering -Drift'!H68:H70)/1000</f>
        <v>70.190644531249973</v>
      </c>
      <c r="G11" s="16">
        <f>SUM('4. Budsjettering -Drift'!I68:I70)/1000</f>
        <v>0</v>
      </c>
      <c r="H11" s="16">
        <f>SUM('4. Budsjettering -Drift'!J68:J70)/1000</f>
        <v>0</v>
      </c>
      <c r="I11" s="16">
        <f>SUM('4. Budsjettering -Drift'!K68:K70)/1000</f>
        <v>0</v>
      </c>
      <c r="J11" s="16">
        <f>SUM('4. Budsjettering -Drift'!L68:L70)/1000</f>
        <v>0</v>
      </c>
      <c r="K11" s="16">
        <f>SUM('4. Budsjettering -Drift'!M68:M70)/1000</f>
        <v>0</v>
      </c>
      <c r="L11" s="16">
        <f>SUM('4. Budsjettering -Drift'!N68:N70)/1000</f>
        <v>0</v>
      </c>
      <c r="M11" s="16">
        <f>SUM('4. Budsjettering -Drift'!O68:O70)/1000</f>
        <v>0</v>
      </c>
      <c r="N11" s="181">
        <f>SUM(B11:M11)</f>
        <v>1135.2692382812497</v>
      </c>
    </row>
    <row r="12" spans="1:15" x14ac:dyDescent="0.25">
      <c r="A12" s="38" t="s">
        <v>153</v>
      </c>
      <c r="B12" s="182">
        <f>('4. Budsjettering -Drift'!D72)/1000-B11-B10</f>
        <v>165</v>
      </c>
      <c r="C12" s="182">
        <f>('4. Budsjettering -Drift'!E72)/1000-C11-C10</f>
        <v>169.12500000000003</v>
      </c>
      <c r="D12" s="182">
        <f>('4. Budsjettering -Drift'!F72)/1000-D11-D10</f>
        <v>173.35312499999992</v>
      </c>
      <c r="E12" s="182">
        <f>('4. Budsjettering -Drift'!G72)/1000-E11-E10</f>
        <v>177.68695312499995</v>
      </c>
      <c r="F12" s="182">
        <f>('4. Budsjettering -Drift'!H72)/1000-F11-F10</f>
        <v>182.12912695312491</v>
      </c>
      <c r="G12" s="182">
        <f>('4. Budsjettering -Drift'!I72)/1000-G11-G10</f>
        <v>0</v>
      </c>
      <c r="H12" s="182">
        <f>('4. Budsjettering -Drift'!J72)/1000-H11-H10</f>
        <v>0</v>
      </c>
      <c r="I12" s="182">
        <f>('4. Budsjettering -Drift'!K72)/1000-I11-I10</f>
        <v>0</v>
      </c>
      <c r="J12" s="182">
        <f>('4. Budsjettering -Drift'!L72)/1000-J11-J10</f>
        <v>0</v>
      </c>
      <c r="K12" s="182">
        <f>('4. Budsjettering -Drift'!M72)/1000-K11-K10</f>
        <v>0</v>
      </c>
      <c r="L12" s="182">
        <f>('4. Budsjettering -Drift'!N72)/1000-L11-L10</f>
        <v>0</v>
      </c>
      <c r="M12" s="182">
        <f>('4. Budsjettering -Drift'!O72)/1000-M11-M10</f>
        <v>0</v>
      </c>
      <c r="N12" s="288">
        <f>SUM(B12:M12)</f>
        <v>867.29420507812472</v>
      </c>
    </row>
    <row r="13" spans="1:15" x14ac:dyDescent="0.25">
      <c r="A13" s="150" t="s">
        <v>508</v>
      </c>
      <c r="B13" s="183">
        <f>SUM(B9:B12)</f>
        <v>1754.5545595263884</v>
      </c>
      <c r="C13" s="183">
        <f t="shared" ref="C13:K13" si="5">SUM(C9:C12)</f>
        <v>1884.2274003121802</v>
      </c>
      <c r="D13" s="183">
        <f t="shared" si="5"/>
        <v>4316.5708301428831</v>
      </c>
      <c r="E13" s="183">
        <f t="shared" si="5"/>
        <v>3202.2189112589776</v>
      </c>
      <c r="F13" s="183">
        <f t="shared" si="5"/>
        <v>1852.4571768203032</v>
      </c>
      <c r="G13" s="183">
        <f t="shared" si="5"/>
        <v>0</v>
      </c>
      <c r="H13" s="183">
        <f t="shared" si="5"/>
        <v>0</v>
      </c>
      <c r="I13" s="183">
        <f t="shared" si="5"/>
        <v>0</v>
      </c>
      <c r="J13" s="183">
        <f t="shared" si="5"/>
        <v>0</v>
      </c>
      <c r="K13" s="183">
        <f t="shared" si="5"/>
        <v>0</v>
      </c>
      <c r="L13" s="183">
        <f t="shared" ref="L13:M13" si="6">SUM(L9:L12)</f>
        <v>0</v>
      </c>
      <c r="M13" s="183">
        <f t="shared" si="6"/>
        <v>0</v>
      </c>
      <c r="N13" s="181">
        <f>SUM(N9:N12)</f>
        <v>13010.028878060732</v>
      </c>
    </row>
    <row r="14" spans="1:15" x14ac:dyDescent="0.25">
      <c r="A14" s="38"/>
      <c r="B14" s="16"/>
      <c r="C14" s="16"/>
      <c r="D14" s="16"/>
      <c r="E14" s="16"/>
      <c r="F14" s="16"/>
      <c r="G14" s="16"/>
      <c r="H14" s="16"/>
      <c r="I14" s="16"/>
      <c r="J14" s="16"/>
      <c r="K14" s="16"/>
      <c r="L14" s="16"/>
      <c r="M14" s="16"/>
      <c r="N14" s="184"/>
    </row>
    <row r="15" spans="1:15" x14ac:dyDescent="0.25">
      <c r="A15" s="38"/>
      <c r="B15" s="16"/>
      <c r="C15" s="16"/>
      <c r="D15" s="16"/>
      <c r="E15" s="16"/>
      <c r="F15" s="16"/>
      <c r="G15" s="16"/>
      <c r="H15" s="16"/>
      <c r="I15" s="16"/>
      <c r="J15" s="16"/>
      <c r="K15" s="16"/>
      <c r="L15" s="16"/>
      <c r="M15" s="16"/>
      <c r="N15" s="184"/>
    </row>
    <row r="16" spans="1:15" x14ac:dyDescent="0.25">
      <c r="A16" s="185" t="s">
        <v>374</v>
      </c>
      <c r="B16" s="186">
        <f>YEAR('1. Prosjektinfo'!B6)</f>
        <v>2019</v>
      </c>
      <c r="C16" s="186">
        <f>B16+1</f>
        <v>2020</v>
      </c>
      <c r="D16" s="186">
        <f t="shared" ref="D16:K16" si="7">C16+1</f>
        <v>2021</v>
      </c>
      <c r="E16" s="186">
        <f t="shared" si="7"/>
        <v>2022</v>
      </c>
      <c r="F16" s="186">
        <f t="shared" si="7"/>
        <v>2023</v>
      </c>
      <c r="G16" s="186">
        <f t="shared" si="7"/>
        <v>2024</v>
      </c>
      <c r="H16" s="186">
        <f t="shared" si="7"/>
        <v>2025</v>
      </c>
      <c r="I16" s="186">
        <f t="shared" si="7"/>
        <v>2026</v>
      </c>
      <c r="J16" s="186">
        <f t="shared" si="7"/>
        <v>2027</v>
      </c>
      <c r="K16" s="186">
        <f t="shared" si="7"/>
        <v>2028</v>
      </c>
      <c r="L16" s="186">
        <f t="shared" ref="L16" si="8">K16+1</f>
        <v>2029</v>
      </c>
      <c r="M16" s="186">
        <f t="shared" ref="M16" si="9">L16+1</f>
        <v>2030</v>
      </c>
      <c r="N16" s="187" t="s">
        <v>79</v>
      </c>
    </row>
    <row r="17" spans="1:14" x14ac:dyDescent="0.25">
      <c r="A17" s="38" t="s">
        <v>375</v>
      </c>
      <c r="B17" s="190"/>
      <c r="C17" s="190"/>
      <c r="D17" s="190"/>
      <c r="E17" s="190"/>
      <c r="F17" s="190"/>
      <c r="G17" s="190"/>
      <c r="H17" s="190"/>
      <c r="I17" s="190"/>
      <c r="J17" s="190"/>
      <c r="K17" s="190"/>
      <c r="L17" s="190"/>
      <c r="M17" s="190"/>
      <c r="N17" s="181">
        <f t="shared" ref="N17:N22" si="10">SUM(B17:M17)</f>
        <v>0</v>
      </c>
    </row>
    <row r="18" spans="1:14" x14ac:dyDescent="0.25">
      <c r="A18" s="38" t="s">
        <v>376</v>
      </c>
      <c r="B18" s="190"/>
      <c r="C18" s="190"/>
      <c r="D18" s="190"/>
      <c r="E18" s="190"/>
      <c r="F18" s="190"/>
      <c r="G18" s="190"/>
      <c r="H18" s="190"/>
      <c r="I18" s="190"/>
      <c r="J18" s="190"/>
      <c r="K18" s="190"/>
      <c r="L18" s="190"/>
      <c r="M18" s="190"/>
      <c r="N18" s="181">
        <f t="shared" si="10"/>
        <v>0</v>
      </c>
    </row>
    <row r="19" spans="1:14" x14ac:dyDescent="0.25">
      <c r="A19" s="38" t="s">
        <v>377</v>
      </c>
      <c r="B19" s="182">
        <f>B22-B17-B18-B20-B21</f>
        <v>1754.5545595263884</v>
      </c>
      <c r="C19" s="182">
        <f t="shared" ref="C19:K19" si="11">C22-C17-C18-C20-C21</f>
        <v>1884.2274003121802</v>
      </c>
      <c r="D19" s="182">
        <f t="shared" si="11"/>
        <v>4316.5708301428831</v>
      </c>
      <c r="E19" s="182">
        <f t="shared" si="11"/>
        <v>3202.2189112589776</v>
      </c>
      <c r="F19" s="182">
        <f t="shared" si="11"/>
        <v>1852.4571768203032</v>
      </c>
      <c r="G19" s="182">
        <f t="shared" si="11"/>
        <v>0</v>
      </c>
      <c r="H19" s="182">
        <f t="shared" si="11"/>
        <v>0</v>
      </c>
      <c r="I19" s="182">
        <f t="shared" si="11"/>
        <v>0</v>
      </c>
      <c r="J19" s="182">
        <f t="shared" si="11"/>
        <v>0</v>
      </c>
      <c r="K19" s="182">
        <f t="shared" si="11"/>
        <v>0</v>
      </c>
      <c r="L19" s="182">
        <f t="shared" ref="L19:M19" si="12">L22-L17-L18-L20-L21</f>
        <v>0</v>
      </c>
      <c r="M19" s="182">
        <f t="shared" si="12"/>
        <v>0</v>
      </c>
      <c r="N19" s="181">
        <f t="shared" si="10"/>
        <v>13010.028878060733</v>
      </c>
    </row>
    <row r="20" spans="1:14" x14ac:dyDescent="0.25">
      <c r="A20" s="38" t="s">
        <v>378</v>
      </c>
      <c r="B20" s="190"/>
      <c r="C20" s="190"/>
      <c r="D20" s="190"/>
      <c r="E20" s="190"/>
      <c r="F20" s="190"/>
      <c r="G20" s="190"/>
      <c r="H20" s="190"/>
      <c r="I20" s="190"/>
      <c r="J20" s="190"/>
      <c r="K20" s="190"/>
      <c r="L20" s="190"/>
      <c r="M20" s="190"/>
      <c r="N20" s="181">
        <f t="shared" si="10"/>
        <v>0</v>
      </c>
    </row>
    <row r="21" spans="1:14" x14ac:dyDescent="0.25">
      <c r="A21" s="38" t="s">
        <v>379</v>
      </c>
      <c r="B21" s="182">
        <f t="shared" ref="B21:K21" si="13">B32</f>
        <v>0</v>
      </c>
      <c r="C21" s="182">
        <f t="shared" si="13"/>
        <v>0</v>
      </c>
      <c r="D21" s="182">
        <f t="shared" si="13"/>
        <v>0</v>
      </c>
      <c r="E21" s="182">
        <f t="shared" si="13"/>
        <v>0</v>
      </c>
      <c r="F21" s="182">
        <f t="shared" si="13"/>
        <v>0</v>
      </c>
      <c r="G21" s="182">
        <f t="shared" si="13"/>
        <v>0</v>
      </c>
      <c r="H21" s="182">
        <f t="shared" si="13"/>
        <v>0</v>
      </c>
      <c r="I21" s="182">
        <f t="shared" si="13"/>
        <v>0</v>
      </c>
      <c r="J21" s="182">
        <f t="shared" si="13"/>
        <v>0</v>
      </c>
      <c r="K21" s="182">
        <f t="shared" si="13"/>
        <v>0</v>
      </c>
      <c r="L21" s="182">
        <f t="shared" ref="L21:M21" si="14">L32</f>
        <v>0</v>
      </c>
      <c r="M21" s="182">
        <f t="shared" si="14"/>
        <v>0</v>
      </c>
      <c r="N21" s="181">
        <f t="shared" si="10"/>
        <v>0</v>
      </c>
    </row>
    <row r="22" spans="1:14" x14ac:dyDescent="0.25">
      <c r="A22" s="150" t="s">
        <v>508</v>
      </c>
      <c r="B22" s="183">
        <f>B13</f>
        <v>1754.5545595263884</v>
      </c>
      <c r="C22" s="183">
        <f t="shared" ref="C22:K22" si="15">C13</f>
        <v>1884.2274003121802</v>
      </c>
      <c r="D22" s="183">
        <f t="shared" si="15"/>
        <v>4316.5708301428831</v>
      </c>
      <c r="E22" s="183">
        <f t="shared" si="15"/>
        <v>3202.2189112589776</v>
      </c>
      <c r="F22" s="183">
        <f t="shared" si="15"/>
        <v>1852.4571768203032</v>
      </c>
      <c r="G22" s="183">
        <f t="shared" si="15"/>
        <v>0</v>
      </c>
      <c r="H22" s="183">
        <f t="shared" si="15"/>
        <v>0</v>
      </c>
      <c r="I22" s="183">
        <f t="shared" si="15"/>
        <v>0</v>
      </c>
      <c r="J22" s="183">
        <f t="shared" si="15"/>
        <v>0</v>
      </c>
      <c r="K22" s="183">
        <f t="shared" si="15"/>
        <v>0</v>
      </c>
      <c r="L22" s="183">
        <f t="shared" ref="L22:M22" si="16">L13</f>
        <v>0</v>
      </c>
      <c r="M22" s="183">
        <f t="shared" si="16"/>
        <v>0</v>
      </c>
      <c r="N22" s="181">
        <f t="shared" si="10"/>
        <v>13010.028878060733</v>
      </c>
    </row>
    <row r="23" spans="1:14" x14ac:dyDescent="0.25">
      <c r="A23" s="38"/>
      <c r="B23" s="16"/>
      <c r="C23" s="16"/>
      <c r="D23" s="16"/>
      <c r="E23" s="16"/>
      <c r="F23" s="16"/>
      <c r="G23" s="16"/>
      <c r="H23" s="16"/>
      <c r="I23" s="16"/>
      <c r="J23" s="16"/>
      <c r="K23" s="16"/>
      <c r="L23" s="16"/>
      <c r="M23" s="16"/>
      <c r="N23" s="184"/>
    </row>
    <row r="24" spans="1:14" x14ac:dyDescent="0.25">
      <c r="A24" s="38"/>
      <c r="B24" s="16"/>
      <c r="C24" s="16"/>
      <c r="D24" s="16"/>
      <c r="E24" s="16"/>
      <c r="F24" s="16"/>
      <c r="G24" s="16"/>
      <c r="H24" s="16"/>
      <c r="I24" s="16"/>
      <c r="J24" s="16"/>
      <c r="K24" s="16"/>
      <c r="L24" s="16"/>
      <c r="M24" s="16"/>
      <c r="N24" s="184"/>
    </row>
    <row r="25" spans="1:14" ht="34.5" customHeight="1" x14ac:dyDescent="0.25">
      <c r="A25" s="185" t="s">
        <v>512</v>
      </c>
      <c r="B25" s="290" t="s">
        <v>513</v>
      </c>
      <c r="C25" s="290" t="s">
        <v>514</v>
      </c>
      <c r="D25" s="290" t="s">
        <v>515</v>
      </c>
      <c r="E25" s="16"/>
      <c r="F25" s="16"/>
      <c r="G25" s="16"/>
      <c r="H25" s="16"/>
      <c r="I25" s="16"/>
      <c r="J25" s="16"/>
      <c r="K25" s="16"/>
      <c r="L25" s="16"/>
      <c r="M25" s="16"/>
      <c r="N25" s="184"/>
    </row>
    <row r="26" spans="1:14" x14ac:dyDescent="0.25">
      <c r="A26" s="38" t="s">
        <v>87</v>
      </c>
      <c r="B26" s="16">
        <f>N51</f>
        <v>10000</v>
      </c>
      <c r="C26" s="16">
        <f>N31</f>
        <v>3010.0288780607325</v>
      </c>
      <c r="D26" s="16">
        <f>SUM(N32:N34)</f>
        <v>0</v>
      </c>
      <c r="E26" s="183">
        <f>SUM(B26:D26)</f>
        <v>13010.028878060733</v>
      </c>
      <c r="F26" s="16"/>
      <c r="G26" s="16"/>
      <c r="H26" s="16"/>
      <c r="I26" s="16"/>
      <c r="J26" s="16"/>
      <c r="K26" s="16"/>
      <c r="L26" s="16"/>
      <c r="M26" s="16"/>
      <c r="N26" s="184"/>
    </row>
    <row r="27" spans="1:14" x14ac:dyDescent="0.25">
      <c r="A27" s="150" t="s">
        <v>508</v>
      </c>
      <c r="B27" s="291">
        <f>B26</f>
        <v>10000</v>
      </c>
      <c r="C27" s="291">
        <f t="shared" ref="C27:D27" si="17">C26</f>
        <v>3010.0288780607325</v>
      </c>
      <c r="D27" s="291">
        <f t="shared" si="17"/>
        <v>0</v>
      </c>
      <c r="E27" s="291">
        <f>SUM(B27:D27)</f>
        <v>13010.028878060733</v>
      </c>
      <c r="F27" s="16"/>
      <c r="G27" s="16"/>
      <c r="H27" s="16"/>
      <c r="I27" s="16"/>
      <c r="J27" s="16"/>
      <c r="K27" s="16"/>
      <c r="L27" s="16"/>
      <c r="M27" s="16"/>
      <c r="N27" s="184"/>
    </row>
    <row r="28" spans="1:14" x14ac:dyDescent="0.25">
      <c r="A28" s="150"/>
      <c r="B28" s="16"/>
      <c r="C28" s="16"/>
      <c r="D28" s="16"/>
      <c r="E28" s="16"/>
      <c r="F28" s="16"/>
      <c r="G28" s="16"/>
      <c r="H28" s="16"/>
      <c r="I28" s="16"/>
      <c r="J28" s="16"/>
      <c r="K28" s="16"/>
      <c r="L28" s="16"/>
      <c r="M28" s="16"/>
      <c r="N28" s="184"/>
    </row>
    <row r="29" spans="1:14" x14ac:dyDescent="0.25">
      <c r="A29" s="38"/>
      <c r="B29" s="16"/>
      <c r="C29" s="16"/>
      <c r="D29" s="16"/>
      <c r="E29" s="16"/>
      <c r="F29" s="16"/>
      <c r="G29" s="16"/>
      <c r="H29" s="16"/>
      <c r="I29" s="16"/>
      <c r="J29" s="16"/>
      <c r="K29" s="16"/>
      <c r="L29" s="16"/>
      <c r="M29" s="16"/>
      <c r="N29" s="184"/>
    </row>
    <row r="30" spans="1:14" x14ac:dyDescent="0.25">
      <c r="A30" s="185" t="s">
        <v>380</v>
      </c>
      <c r="B30" s="186">
        <f>YEAR('1. Prosjektinfo'!B6)</f>
        <v>2019</v>
      </c>
      <c r="C30" s="186">
        <f>B30+1</f>
        <v>2020</v>
      </c>
      <c r="D30" s="186">
        <f t="shared" ref="D30:K30" si="18">C30+1</f>
        <v>2021</v>
      </c>
      <c r="E30" s="186">
        <f t="shared" si="18"/>
        <v>2022</v>
      </c>
      <c r="F30" s="186">
        <f t="shared" si="18"/>
        <v>2023</v>
      </c>
      <c r="G30" s="186">
        <f t="shared" si="18"/>
        <v>2024</v>
      </c>
      <c r="H30" s="186">
        <f t="shared" si="18"/>
        <v>2025</v>
      </c>
      <c r="I30" s="186">
        <f t="shared" si="18"/>
        <v>2026</v>
      </c>
      <c r="J30" s="186">
        <f t="shared" si="18"/>
        <v>2027</v>
      </c>
      <c r="K30" s="186">
        <f t="shared" si="18"/>
        <v>2028</v>
      </c>
      <c r="L30" s="186">
        <f t="shared" ref="L30" si="19">K30+1</f>
        <v>2029</v>
      </c>
      <c r="M30" s="186">
        <f t="shared" ref="M30" si="20">L30+1</f>
        <v>2030</v>
      </c>
      <c r="N30" s="187" t="s">
        <v>79</v>
      </c>
    </row>
    <row r="31" spans="1:14" s="152" customFormat="1" x14ac:dyDescent="0.25">
      <c r="A31" s="188" t="s">
        <v>381</v>
      </c>
      <c r="B31" s="189">
        <f>(('2. Budsjettering - Direkte lønn'!D59+'3. Budsjettering - Timer'!D60+'4. Budsjettering -Drift'!D62)-'5. Oppsummering Budsjett'!B30)/1000</f>
        <v>516.35455952638836</v>
      </c>
      <c r="C31" s="189">
        <f>(('2. Budsjettering - Direkte lønn'!E59+'3. Budsjettering - Timer'!E60+'4. Budsjettering -Drift'!E62)-'5. Oppsummering Budsjett'!C30)/1000</f>
        <v>616.02740031218013</v>
      </c>
      <c r="D31" s="189">
        <f>(('2. Budsjettering - Direkte lønn'!F59+'3. Budsjettering - Timer'!F60+'4. Budsjettering -Drift'!F62)-'5. Oppsummering Budsjett'!D30)/1000</f>
        <v>705.3708301428826</v>
      </c>
      <c r="E31" s="189">
        <f>(('2. Budsjettering - Direkte lønn'!G59+'3. Budsjettering - Timer'!G60+'4. Budsjettering -Drift'!G62)-'5. Oppsummering Budsjett'!E30)/1000</f>
        <v>685.01891125897782</v>
      </c>
      <c r="F31" s="189">
        <f>(('2. Budsjettering - Direkte lønn'!H59+'3. Budsjettering - Timer'!H60+'4. Budsjettering -Drift'!H62)-'5. Oppsummering Budsjett'!F30)/1000</f>
        <v>487.2571768203033</v>
      </c>
      <c r="G31" s="189">
        <f>(('2. Budsjettering - Direkte lønn'!I59+'3. Budsjettering - Timer'!I60+'4. Budsjettering -Drift'!I62)-'5. Oppsummering Budsjett'!G30)/1000</f>
        <v>0</v>
      </c>
      <c r="H31" s="189">
        <f>(('2. Budsjettering - Direkte lønn'!J59+'3. Budsjettering - Timer'!J60+'4. Budsjettering -Drift'!J62)-'5. Oppsummering Budsjett'!H30)/1000</f>
        <v>0</v>
      </c>
      <c r="I31" s="189">
        <f>(('2. Budsjettering - Direkte lønn'!K59+'3. Budsjettering - Timer'!K60+'4. Budsjettering -Drift'!K62)-'5. Oppsummering Budsjett'!I30)/1000</f>
        <v>0</v>
      </c>
      <c r="J31" s="189">
        <f>(('2. Budsjettering - Direkte lønn'!L59+'3. Budsjettering - Timer'!L60+'4. Budsjettering -Drift'!L62)-'5. Oppsummering Budsjett'!J30)/1000</f>
        <v>0</v>
      </c>
      <c r="K31" s="189">
        <f>(('2. Budsjettering - Direkte lønn'!M59+'3. Budsjettering - Timer'!M60+'4. Budsjettering -Drift'!M62)-'5. Oppsummering Budsjett'!K30)/1000</f>
        <v>0</v>
      </c>
      <c r="L31" s="189">
        <f>(('2. Budsjettering - Direkte lønn'!N59+'3. Budsjettering - Timer'!N60+'4. Budsjettering -Drift'!N62)-'5. Oppsummering Budsjett'!L30)/1000</f>
        <v>0</v>
      </c>
      <c r="M31" s="189">
        <f>(('2. Budsjettering - Direkte lønn'!O59+'3. Budsjettering - Timer'!O60+'4. Budsjettering -Drift'!O62)-'5. Oppsummering Budsjett'!M30)/1000</f>
        <v>0</v>
      </c>
      <c r="N31" s="181">
        <f>SUM(B31:M31)</f>
        <v>3010.0288780607325</v>
      </c>
    </row>
    <row r="32" spans="1:14" x14ac:dyDescent="0.25">
      <c r="A32" s="38" t="s">
        <v>382</v>
      </c>
      <c r="B32" s="190"/>
      <c r="C32" s="190"/>
      <c r="D32" s="190"/>
      <c r="E32" s="190"/>
      <c r="F32" s="190"/>
      <c r="G32" s="190"/>
      <c r="H32" s="190"/>
      <c r="I32" s="190"/>
      <c r="J32" s="190"/>
      <c r="K32" s="191"/>
      <c r="L32" s="191"/>
      <c r="M32" s="191"/>
      <c r="N32" s="181">
        <f>SUM(B32:M32)</f>
        <v>0</v>
      </c>
    </row>
    <row r="33" spans="1:14" x14ac:dyDescent="0.25">
      <c r="A33" s="38" t="s">
        <v>383</v>
      </c>
      <c r="B33" s="190"/>
      <c r="C33" s="190"/>
      <c r="D33" s="190"/>
      <c r="E33" s="190"/>
      <c r="F33" s="190"/>
      <c r="G33" s="190"/>
      <c r="H33" s="190"/>
      <c r="I33" s="190"/>
      <c r="J33" s="190"/>
      <c r="K33" s="191"/>
      <c r="L33" s="191"/>
      <c r="M33" s="191"/>
      <c r="N33" s="181">
        <f>SUM(B33:M33)</f>
        <v>0</v>
      </c>
    </row>
    <row r="34" spans="1:14" x14ac:dyDescent="0.25">
      <c r="A34" s="38" t="s">
        <v>384</v>
      </c>
      <c r="B34" s="190"/>
      <c r="C34" s="190"/>
      <c r="D34" s="190"/>
      <c r="E34" s="190"/>
      <c r="F34" s="190"/>
      <c r="G34" s="190"/>
      <c r="H34" s="190"/>
      <c r="I34" s="190"/>
      <c r="J34" s="190"/>
      <c r="K34" s="191"/>
      <c r="L34" s="191"/>
      <c r="M34" s="191"/>
      <c r="N34" s="181">
        <f>SUM(B34:M34)</f>
        <v>0</v>
      </c>
    </row>
    <row r="35" spans="1:14" s="152" customFormat="1" x14ac:dyDescent="0.25">
      <c r="A35" s="188" t="s">
        <v>385</v>
      </c>
      <c r="B35" s="189">
        <f>('5. Oppsummering Budsjett'!B26+'5. Oppsummering Budsjett'!B27)/1000</f>
        <v>1238.2</v>
      </c>
      <c r="C35" s="189">
        <f>('5. Oppsummering Budsjett'!C26+'5. Oppsummering Budsjett'!C27)/1000</f>
        <v>1268.2</v>
      </c>
      <c r="D35" s="189">
        <f>('5. Oppsummering Budsjett'!D26+'5. Oppsummering Budsjett'!D27)/1000</f>
        <v>3611.2</v>
      </c>
      <c r="E35" s="189">
        <f>('5. Oppsummering Budsjett'!E26+'5. Oppsummering Budsjett'!E27)/1000</f>
        <v>2517.1999999999998</v>
      </c>
      <c r="F35" s="189">
        <f>('5. Oppsummering Budsjett'!F26+'5. Oppsummering Budsjett'!F27)/1000</f>
        <v>1365.2</v>
      </c>
      <c r="G35" s="189">
        <f>('5. Oppsummering Budsjett'!G26+'5. Oppsummering Budsjett'!G27)/1000</f>
        <v>0</v>
      </c>
      <c r="H35" s="189">
        <f>('5. Oppsummering Budsjett'!H26+'5. Oppsummering Budsjett'!H27)/1000</f>
        <v>0</v>
      </c>
      <c r="I35" s="189">
        <f>('5. Oppsummering Budsjett'!I26+'5. Oppsummering Budsjett'!I27)/1000</f>
        <v>0</v>
      </c>
      <c r="J35" s="189">
        <f>('5. Oppsummering Budsjett'!J26+'5. Oppsummering Budsjett'!J27)/1000</f>
        <v>0</v>
      </c>
      <c r="K35" s="189">
        <f>('5. Oppsummering Budsjett'!K26+'5. Oppsummering Budsjett'!K27)/1000</f>
        <v>0</v>
      </c>
      <c r="L35" s="189">
        <f>('5. Oppsummering Budsjett'!L26+'5. Oppsummering Budsjett'!L27)/1000</f>
        <v>0</v>
      </c>
      <c r="M35" s="189">
        <f>('5. Oppsummering Budsjett'!M26+'5. Oppsummering Budsjett'!M27)/1000</f>
        <v>0</v>
      </c>
      <c r="N35" s="181">
        <f>SUM(B35:M35)</f>
        <v>10000</v>
      </c>
    </row>
    <row r="36" spans="1:14" x14ac:dyDescent="0.25">
      <c r="A36" s="150" t="s">
        <v>508</v>
      </c>
      <c r="B36" s="183">
        <f>SUM(B31:B35)</f>
        <v>1754.5545595263884</v>
      </c>
      <c r="C36" s="183">
        <f t="shared" ref="C36:K36" si="21">SUM(C31:C35)</f>
        <v>1884.2274003121802</v>
      </c>
      <c r="D36" s="183">
        <f t="shared" si="21"/>
        <v>4316.5708301428822</v>
      </c>
      <c r="E36" s="183">
        <f t="shared" si="21"/>
        <v>3202.2189112589776</v>
      </c>
      <c r="F36" s="183">
        <f t="shared" si="21"/>
        <v>1852.4571768203034</v>
      </c>
      <c r="G36" s="183">
        <f t="shared" si="21"/>
        <v>0</v>
      </c>
      <c r="H36" s="183">
        <f t="shared" si="21"/>
        <v>0</v>
      </c>
      <c r="I36" s="183">
        <f t="shared" si="21"/>
        <v>0</v>
      </c>
      <c r="J36" s="183">
        <f t="shared" si="21"/>
        <v>0</v>
      </c>
      <c r="K36" s="183">
        <f t="shared" si="21"/>
        <v>0</v>
      </c>
      <c r="L36" s="183">
        <f t="shared" ref="L36:M36" si="22">SUM(L31:L35)</f>
        <v>0</v>
      </c>
      <c r="M36" s="183">
        <f t="shared" si="22"/>
        <v>0</v>
      </c>
      <c r="N36" s="181">
        <f>SUM(N31:N35)</f>
        <v>13010.028878060733</v>
      </c>
    </row>
    <row r="37" spans="1:14" x14ac:dyDescent="0.25">
      <c r="A37" s="38"/>
      <c r="B37" s="192"/>
      <c r="C37" s="192"/>
      <c r="D37" s="192"/>
      <c r="E37" s="192"/>
      <c r="F37" s="192"/>
      <c r="G37" s="192"/>
      <c r="H37" s="192"/>
      <c r="I37" s="192"/>
      <c r="J37" s="192"/>
      <c r="K37" s="192"/>
      <c r="L37" s="192"/>
      <c r="M37" s="192"/>
      <c r="N37" s="184"/>
    </row>
    <row r="38" spans="1:14" ht="18.75" x14ac:dyDescent="0.3">
      <c r="A38" s="193"/>
      <c r="B38" s="1"/>
      <c r="C38" s="1"/>
      <c r="D38" s="1"/>
      <c r="E38" s="18"/>
      <c r="F38" s="1"/>
      <c r="G38" s="1"/>
      <c r="H38" s="1"/>
      <c r="I38" s="1"/>
      <c r="J38" s="1"/>
      <c r="K38" s="1"/>
      <c r="L38" s="1"/>
      <c r="M38" s="1"/>
      <c r="N38" s="184"/>
    </row>
    <row r="39" spans="1:14" x14ac:dyDescent="0.25">
      <c r="A39" s="185" t="s">
        <v>386</v>
      </c>
      <c r="B39" s="186">
        <f>YEAR('1. Prosjektinfo'!B6)</f>
        <v>2019</v>
      </c>
      <c r="C39" s="186">
        <f>B39+1</f>
        <v>2020</v>
      </c>
      <c r="D39" s="186">
        <f t="shared" ref="D39:K39" si="23">C39+1</f>
        <v>2021</v>
      </c>
      <c r="E39" s="186">
        <f t="shared" si="23"/>
        <v>2022</v>
      </c>
      <c r="F39" s="186">
        <f t="shared" si="23"/>
        <v>2023</v>
      </c>
      <c r="G39" s="186">
        <f t="shared" si="23"/>
        <v>2024</v>
      </c>
      <c r="H39" s="186">
        <f t="shared" si="23"/>
        <v>2025</v>
      </c>
      <c r="I39" s="186">
        <f t="shared" si="23"/>
        <v>2026</v>
      </c>
      <c r="J39" s="186">
        <f t="shared" si="23"/>
        <v>2027</v>
      </c>
      <c r="K39" s="186">
        <f t="shared" si="23"/>
        <v>2028</v>
      </c>
      <c r="L39" s="186">
        <f t="shared" ref="L39" si="24">K39+1</f>
        <v>2029</v>
      </c>
      <c r="M39" s="186">
        <f t="shared" ref="M39" si="25">L39+1</f>
        <v>2030</v>
      </c>
      <c r="N39" s="187" t="s">
        <v>79</v>
      </c>
    </row>
    <row r="40" spans="1:14" ht="15" customHeight="1" x14ac:dyDescent="0.25">
      <c r="A40" s="38" t="s">
        <v>387</v>
      </c>
      <c r="B40" s="190"/>
      <c r="C40" s="194"/>
      <c r="D40" s="194"/>
      <c r="E40" s="194"/>
      <c r="F40" s="194"/>
      <c r="G40" s="194"/>
      <c r="H40" s="194"/>
      <c r="I40" s="194"/>
      <c r="J40" s="194"/>
      <c r="K40" s="195"/>
      <c r="L40" s="195"/>
      <c r="M40" s="195"/>
      <c r="N40" s="181">
        <f t="shared" ref="N40:N50" si="26">SUM(B40:M40)</f>
        <v>0</v>
      </c>
    </row>
    <row r="41" spans="1:14" ht="15" customHeight="1" x14ac:dyDescent="0.25">
      <c r="A41" s="38" t="s">
        <v>388</v>
      </c>
      <c r="B41" s="16">
        <f>((VLOOKUP(B39,Oppslag!$BC:$BD,2,FALSE))*'2. Budsjettering - Direkte lønn'!D63)/1000</f>
        <v>1095</v>
      </c>
      <c r="C41" s="16">
        <f>((VLOOKUP(C39,Oppslag!$BC:$BD,2,FALSE))*'2. Budsjettering - Direkte lønn'!E63)/1000</f>
        <v>1125</v>
      </c>
      <c r="D41" s="16">
        <f>((VLOOKUP(D39,Oppslag!$BC:$BD,2,FALSE))*'2. Budsjettering - Direkte lønn'!F63)/1000</f>
        <v>2312</v>
      </c>
      <c r="E41" s="16">
        <f>((VLOOKUP(E39,Oppslag!$BC:$BD,2,FALSE))*'2. Budsjettering - Direkte lønn'!G63)/1000</f>
        <v>1187</v>
      </c>
      <c r="F41" s="16">
        <f>((VLOOKUP(F39,Oppslag!$BC:$BD,2,FALSE))*'2. Budsjettering - Direkte lønn'!H63)/1000</f>
        <v>1222</v>
      </c>
      <c r="G41" s="16">
        <f>((VLOOKUP(G39,Oppslag!$BC:$BD,2,FALSE))*'2. Budsjettering - Direkte lønn'!I63)/1000</f>
        <v>0</v>
      </c>
      <c r="H41" s="16">
        <f>((VLOOKUP(H39,Oppslag!$BC:$BD,2,FALSE))*'2. Budsjettering - Direkte lønn'!J63)/1000</f>
        <v>0</v>
      </c>
      <c r="I41" s="16">
        <f>((VLOOKUP(I39,Oppslag!$BC:$BD,2,FALSE))*'2. Budsjettering - Direkte lønn'!K63)/1000</f>
        <v>0</v>
      </c>
      <c r="J41" s="16">
        <f>((VLOOKUP(J39,Oppslag!$BC:$BD,2,FALSE))*'2. Budsjettering - Direkte lønn'!L63)/1000</f>
        <v>0</v>
      </c>
      <c r="K41" s="16">
        <f>((VLOOKUP(K39,Oppslag!$BC:$BD,2,FALSE))*'2. Budsjettering - Direkte lønn'!M63)/1000</f>
        <v>0</v>
      </c>
      <c r="L41" s="16">
        <f>((VLOOKUP(L39,Oppslag!$BC:$BD,2,FALSE))*'2. Budsjettering - Direkte lønn'!N63)/1000</f>
        <v>0</v>
      </c>
      <c r="M41" s="16">
        <f>((VLOOKUP(M39,Oppslag!$BC:$BD,2,FALSE))*'2. Budsjettering - Direkte lønn'!O63)/1000</f>
        <v>0</v>
      </c>
      <c r="N41" s="181">
        <f t="shared" si="26"/>
        <v>6941</v>
      </c>
    </row>
    <row r="42" spans="1:14" ht="15" customHeight="1" x14ac:dyDescent="0.25">
      <c r="A42" s="38" t="s">
        <v>389</v>
      </c>
      <c r="B42" s="16">
        <f>(VLOOKUP(B39,Oppslag!$BC:$BD,2,FALSE)*'2. Budsjettering - Direkte lønn'!D64)/1000</f>
        <v>0</v>
      </c>
      <c r="C42" s="16">
        <f>(VLOOKUP(C39,Oppslag!$BC:$BD,2,FALSE)*'2. Budsjettering - Direkte lønn'!E64)/1000</f>
        <v>0</v>
      </c>
      <c r="D42" s="16">
        <f>(VLOOKUP(D39,Oppslag!$BC:$BD,2,FALSE)*'2. Budsjettering - Direkte lønn'!F64)/1000</f>
        <v>1156</v>
      </c>
      <c r="E42" s="16">
        <f>(VLOOKUP(E39,Oppslag!$BC:$BD,2,FALSE)*'2. Budsjettering - Direkte lønn'!G64)/1000</f>
        <v>1187</v>
      </c>
      <c r="F42" s="16">
        <f>(VLOOKUP(F39,Oppslag!$BC:$BD,2,FALSE)*'2. Budsjettering - Direkte lønn'!H64)/1000</f>
        <v>0</v>
      </c>
      <c r="G42" s="16">
        <f>(VLOOKUP(G39,Oppslag!$BC:$BD,2,FALSE)*'2. Budsjettering - Direkte lønn'!I64)/1000</f>
        <v>0</v>
      </c>
      <c r="H42" s="16">
        <f>(VLOOKUP(H39,Oppslag!$BC:$BD,2,FALSE)*'2. Budsjettering - Direkte lønn'!J64)/1000</f>
        <v>0</v>
      </c>
      <c r="I42" s="16">
        <f>(VLOOKUP(I39,Oppslag!$BC:$BD,2,FALSE)*'2. Budsjettering - Direkte lønn'!K64)/1000</f>
        <v>0</v>
      </c>
      <c r="J42" s="16">
        <f>(VLOOKUP(J39,Oppslag!$BC:$BD,2,FALSE)*'2. Budsjettering - Direkte lønn'!L64)/1000</f>
        <v>0</v>
      </c>
      <c r="K42" s="16">
        <f>(VLOOKUP(K39,Oppslag!$BC:$BD,2,FALSE)*'2. Budsjettering - Direkte lønn'!M64)/1000</f>
        <v>0</v>
      </c>
      <c r="L42" s="16">
        <f>(VLOOKUP(L39,Oppslag!$BC:$BD,2,FALSE)*'2. Budsjettering - Direkte lønn'!N64)/1000</f>
        <v>0</v>
      </c>
      <c r="M42" s="16">
        <f>(VLOOKUP(M39,Oppslag!$BC:$BD,2,FALSE)*'2. Budsjettering - Direkte lønn'!O64)/1000</f>
        <v>0</v>
      </c>
      <c r="N42" s="181">
        <f t="shared" si="26"/>
        <v>2343</v>
      </c>
    </row>
    <row r="43" spans="1:14" ht="15" customHeight="1" x14ac:dyDescent="0.25">
      <c r="A43" s="38" t="s">
        <v>390</v>
      </c>
      <c r="B43" s="190"/>
      <c r="C43" s="194"/>
      <c r="D43" s="194"/>
      <c r="E43" s="194"/>
      <c r="F43" s="194"/>
      <c r="G43" s="194"/>
      <c r="H43" s="194"/>
      <c r="I43" s="194"/>
      <c r="J43" s="194"/>
      <c r="K43" s="195"/>
      <c r="L43" s="195"/>
      <c r="M43" s="195"/>
      <c r="N43" s="181">
        <f t="shared" si="26"/>
        <v>0</v>
      </c>
    </row>
    <row r="44" spans="1:14" ht="15" customHeight="1" x14ac:dyDescent="0.25">
      <c r="A44" s="38" t="s">
        <v>391</v>
      </c>
      <c r="B44" s="190"/>
      <c r="C44" s="194"/>
      <c r="D44" s="194"/>
      <c r="E44" s="194"/>
      <c r="F44" s="194"/>
      <c r="G44" s="194"/>
      <c r="H44" s="194"/>
      <c r="I44" s="194"/>
      <c r="J44" s="194"/>
      <c r="K44" s="195"/>
      <c r="L44" s="195"/>
      <c r="M44" s="195"/>
      <c r="N44" s="181">
        <f t="shared" si="26"/>
        <v>0</v>
      </c>
    </row>
    <row r="45" spans="1:14" ht="15" customHeight="1" x14ac:dyDescent="0.25">
      <c r="A45" s="38" t="s">
        <v>392</v>
      </c>
      <c r="B45" s="16">
        <f>(VLOOKUP(B39,Oppslag!$BC:$BD,2,FALSE)*'2. Budsjettering - Direkte lønn'!D65)/1000</f>
        <v>0</v>
      </c>
      <c r="C45" s="16">
        <f>(VLOOKUP(C39,Oppslag!$BC:$BD,2,FALSE)*'2. Budsjettering - Direkte lønn'!E65)/1000</f>
        <v>0</v>
      </c>
      <c r="D45" s="16">
        <f>(VLOOKUP(D39,Oppslag!$BC:$BD,2,FALSE)*'2. Budsjettering - Direkte lønn'!F65)/1000</f>
        <v>0</v>
      </c>
      <c r="E45" s="16">
        <f>(VLOOKUP(E39,Oppslag!$BC:$BD,2,FALSE)*'2. Budsjettering - Direkte lønn'!G65)/1000</f>
        <v>0</v>
      </c>
      <c r="F45" s="16">
        <f>(VLOOKUP(F39,Oppslag!$BC:$BD,2,FALSE)*'2. Budsjettering - Direkte lønn'!H65)/1000</f>
        <v>0</v>
      </c>
      <c r="G45" s="16">
        <f>(VLOOKUP(G39,Oppslag!$BC:$BD,2,FALSE)*'2. Budsjettering - Direkte lønn'!I65)/1000</f>
        <v>0</v>
      </c>
      <c r="H45" s="16">
        <f>(VLOOKUP(H39,Oppslag!$BC:$BD,2,FALSE)*'2. Budsjettering - Direkte lønn'!J65)/1000</f>
        <v>0</v>
      </c>
      <c r="I45" s="16">
        <f>(VLOOKUP(I39,Oppslag!$BC:$BD,2,FALSE)*'2. Budsjettering - Direkte lønn'!K65)/1000</f>
        <v>0</v>
      </c>
      <c r="J45" s="16">
        <f>(VLOOKUP(J39,Oppslag!$BC:$BD,2,FALSE)*'2. Budsjettering - Direkte lønn'!L65)/1000</f>
        <v>0</v>
      </c>
      <c r="K45" s="16">
        <f>(VLOOKUP(K39,Oppslag!$BC:$BD,2,FALSE)*'2. Budsjettering - Direkte lønn'!M65)/1000</f>
        <v>0</v>
      </c>
      <c r="L45" s="16">
        <f>(VLOOKUP(L39,Oppslag!$BC:$BD,2,FALSE)*'2. Budsjettering - Direkte lønn'!N65)/1000</f>
        <v>0</v>
      </c>
      <c r="M45" s="16">
        <f>(VLOOKUP(M39,Oppslag!$BC:$BD,2,FALSE)*'2. Budsjettering - Direkte lønn'!O65)/1000</f>
        <v>0</v>
      </c>
      <c r="N45" s="181">
        <f t="shared" si="26"/>
        <v>0</v>
      </c>
    </row>
    <row r="46" spans="1:14" ht="15" customHeight="1" x14ac:dyDescent="0.25">
      <c r="A46" s="38" t="s">
        <v>393</v>
      </c>
      <c r="B46" s="190"/>
      <c r="C46" s="194"/>
      <c r="D46" s="194"/>
      <c r="E46" s="194"/>
      <c r="F46" s="194"/>
      <c r="G46" s="194"/>
      <c r="H46" s="194"/>
      <c r="I46" s="194"/>
      <c r="J46" s="194"/>
      <c r="K46" s="195"/>
      <c r="L46" s="195"/>
      <c r="M46" s="195"/>
      <c r="N46" s="181">
        <f t="shared" si="26"/>
        <v>0</v>
      </c>
    </row>
    <row r="47" spans="1:14" ht="15" customHeight="1" x14ac:dyDescent="0.25">
      <c r="A47" s="196" t="s">
        <v>394</v>
      </c>
      <c r="B47" s="197">
        <f>SUM(B40:B46)</f>
        <v>1095</v>
      </c>
      <c r="C47" s="197">
        <f t="shared" ref="C47:K47" si="27">SUM(C40:C46)</f>
        <v>1125</v>
      </c>
      <c r="D47" s="197">
        <f t="shared" si="27"/>
        <v>3468</v>
      </c>
      <c r="E47" s="197">
        <f t="shared" si="27"/>
        <v>2374</v>
      </c>
      <c r="F47" s="197">
        <f t="shared" si="27"/>
        <v>1222</v>
      </c>
      <c r="G47" s="197">
        <f t="shared" si="27"/>
        <v>0</v>
      </c>
      <c r="H47" s="197">
        <f t="shared" si="27"/>
        <v>0</v>
      </c>
      <c r="I47" s="197">
        <f t="shared" si="27"/>
        <v>0</v>
      </c>
      <c r="J47" s="197">
        <f t="shared" si="27"/>
        <v>0</v>
      </c>
      <c r="K47" s="197">
        <f t="shared" si="27"/>
        <v>0</v>
      </c>
      <c r="L47" s="197">
        <f t="shared" ref="L47:M47" si="28">SUM(L40:L46)</f>
        <v>0</v>
      </c>
      <c r="M47" s="197">
        <f t="shared" si="28"/>
        <v>0</v>
      </c>
      <c r="N47" s="181">
        <f t="shared" si="26"/>
        <v>9284</v>
      </c>
    </row>
    <row r="48" spans="1:14" ht="15" customHeight="1" x14ac:dyDescent="0.25">
      <c r="A48" s="251" t="s">
        <v>449</v>
      </c>
      <c r="B48" s="252"/>
      <c r="C48" s="252"/>
      <c r="D48" s="252"/>
      <c r="E48" s="252"/>
      <c r="F48" s="252"/>
      <c r="G48" s="252"/>
      <c r="H48" s="252"/>
      <c r="I48" s="252"/>
      <c r="J48" s="252"/>
      <c r="K48" s="252"/>
      <c r="L48" s="252"/>
      <c r="M48" s="250"/>
      <c r="N48" s="181">
        <f t="shared" si="26"/>
        <v>0</v>
      </c>
    </row>
    <row r="49" spans="1:14" ht="15" customHeight="1" x14ac:dyDescent="0.25">
      <c r="A49" s="38" t="s">
        <v>373</v>
      </c>
      <c r="B49" s="190">
        <f>('4. Budsjettering -Drift'!D14+'4. Budsjettering -Drift'!D15)/1000</f>
        <v>65</v>
      </c>
      <c r="C49" s="190">
        <f>('4. Budsjettering -Drift'!E14+'4. Budsjettering -Drift'!E15)/1000</f>
        <v>15</v>
      </c>
      <c r="D49" s="190">
        <f>('4. Budsjettering -Drift'!F14+'4. Budsjettering -Drift'!F15)/1000</f>
        <v>15</v>
      </c>
      <c r="E49" s="190">
        <f>('4. Budsjettering -Drift'!G14+'4. Budsjettering -Drift'!G15)/1000</f>
        <v>15</v>
      </c>
      <c r="F49" s="190">
        <f>('4. Budsjettering -Drift'!H14+'4. Budsjettering -Drift'!H15)/1000</f>
        <v>15</v>
      </c>
      <c r="G49" s="190"/>
      <c r="H49" s="190"/>
      <c r="I49" s="190"/>
      <c r="J49" s="190"/>
      <c r="K49" s="190"/>
      <c r="L49" s="190"/>
      <c r="M49" s="190"/>
      <c r="N49" s="181">
        <f t="shared" si="26"/>
        <v>125</v>
      </c>
    </row>
    <row r="50" spans="1:14" ht="15" customHeight="1" x14ac:dyDescent="0.25">
      <c r="A50" s="38" t="s">
        <v>153</v>
      </c>
      <c r="B50" s="190">
        <f>'5. Oppsummering Budsjett'!B27/1000-'6. NFR-søknad'!B49</f>
        <v>78.199999999999989</v>
      </c>
      <c r="C50" s="190">
        <f>'5. Oppsummering Budsjett'!C27/1000-'6. NFR-søknad'!C49</f>
        <v>128.19999999999999</v>
      </c>
      <c r="D50" s="190">
        <f>'5. Oppsummering Budsjett'!D27/1000-'6. NFR-søknad'!D49</f>
        <v>128.19999999999999</v>
      </c>
      <c r="E50" s="190">
        <f>'5. Oppsummering Budsjett'!E27/1000-'6. NFR-søknad'!E49</f>
        <v>128.19999999999999</v>
      </c>
      <c r="F50" s="190">
        <f>'5. Oppsummering Budsjett'!F27/1000-'6. NFR-søknad'!F49</f>
        <v>128.19999999999999</v>
      </c>
      <c r="G50" s="190"/>
      <c r="H50" s="190"/>
      <c r="I50" s="190"/>
      <c r="J50" s="190"/>
      <c r="K50" s="190"/>
      <c r="L50" s="190"/>
      <c r="M50" s="190"/>
      <c r="N50" s="181">
        <f t="shared" si="26"/>
        <v>591</v>
      </c>
    </row>
    <row r="51" spans="1:14" ht="15.75" thickBot="1" x14ac:dyDescent="0.3">
      <c r="A51" s="26" t="s">
        <v>509</v>
      </c>
      <c r="B51" s="198">
        <f>SUM(B47:B50)</f>
        <v>1238.2</v>
      </c>
      <c r="C51" s="198">
        <f t="shared" ref="C51:N51" si="29">SUM(C47:C50)</f>
        <v>1268.2</v>
      </c>
      <c r="D51" s="198">
        <f t="shared" si="29"/>
        <v>3611.2</v>
      </c>
      <c r="E51" s="198">
        <f t="shared" si="29"/>
        <v>2517.1999999999998</v>
      </c>
      <c r="F51" s="198">
        <f t="shared" si="29"/>
        <v>1365.2</v>
      </c>
      <c r="G51" s="198">
        <f t="shared" si="29"/>
        <v>0</v>
      </c>
      <c r="H51" s="198">
        <f t="shared" si="29"/>
        <v>0</v>
      </c>
      <c r="I51" s="198">
        <f t="shared" si="29"/>
        <v>0</v>
      </c>
      <c r="J51" s="198">
        <f t="shared" si="29"/>
        <v>0</v>
      </c>
      <c r="K51" s="198">
        <f t="shared" si="29"/>
        <v>0</v>
      </c>
      <c r="L51" s="198">
        <f t="shared" ref="L51:M51" si="30">SUM(L47:L50)</f>
        <v>0</v>
      </c>
      <c r="M51" s="198">
        <f t="shared" si="30"/>
        <v>0</v>
      </c>
      <c r="N51" s="199">
        <f t="shared" si="29"/>
        <v>10000</v>
      </c>
    </row>
    <row r="53" spans="1:14" ht="15.75" thickBot="1" x14ac:dyDescent="0.3"/>
    <row r="54" spans="1:14" x14ac:dyDescent="0.25">
      <c r="A54" s="308" t="s">
        <v>548</v>
      </c>
      <c r="B54" s="309"/>
      <c r="C54" s="309"/>
      <c r="D54" s="309"/>
      <c r="E54" s="310"/>
      <c r="F54" s="311"/>
    </row>
    <row r="55" spans="1:14" x14ac:dyDescent="0.25">
      <c r="A55" s="312" t="s">
        <v>549</v>
      </c>
      <c r="B55" s="313">
        <v>78.199999999999989</v>
      </c>
      <c r="C55" s="313">
        <v>128.19999999999999</v>
      </c>
      <c r="D55" s="313">
        <v>128.19999999999999</v>
      </c>
      <c r="E55" s="313">
        <v>128.19999999999999</v>
      </c>
      <c r="F55" s="314">
        <v>128.19999999999999</v>
      </c>
    </row>
    <row r="56" spans="1:14" x14ac:dyDescent="0.25">
      <c r="A56" s="315" t="s">
        <v>551</v>
      </c>
      <c r="B56" s="307">
        <v>50</v>
      </c>
      <c r="C56" s="307">
        <f>B56*1.025</f>
        <v>51.249999999999993</v>
      </c>
      <c r="D56" s="307">
        <f t="shared" ref="D56:F56" si="31">C56*1.025</f>
        <v>52.531249999999986</v>
      </c>
      <c r="E56" s="307">
        <f t="shared" si="31"/>
        <v>53.844531249999982</v>
      </c>
      <c r="F56" s="316">
        <f t="shared" si="31"/>
        <v>55.19064453124998</v>
      </c>
    </row>
    <row r="57" spans="1:14" ht="15.75" thickBot="1" x14ac:dyDescent="0.3">
      <c r="A57" s="317" t="s">
        <v>550</v>
      </c>
      <c r="B57" s="318">
        <f>B55-B56</f>
        <v>28.199999999999989</v>
      </c>
      <c r="C57" s="318">
        <f t="shared" ref="C57:F57" si="32">C55-C56</f>
        <v>76.949999999999989</v>
      </c>
      <c r="D57" s="318">
        <f t="shared" si="32"/>
        <v>75.668750000000003</v>
      </c>
      <c r="E57" s="318">
        <f t="shared" si="32"/>
        <v>74.35546875</v>
      </c>
      <c r="F57" s="319">
        <f t="shared" si="32"/>
        <v>73.009355468750016</v>
      </c>
    </row>
  </sheetData>
  <conditionalFormatting sqref="B37:M37">
    <cfRule type="cellIs" dxfId="0" priority="1" operator="notEqual">
      <formula>0</formula>
    </cfRule>
  </conditionalFormatting>
  <pageMargins left="0.7" right="0.7" top="0.75" bottom="0.75" header="0.3" footer="0.3"/>
  <pageSetup orientation="portrait" horizontalDpi="1200" verticalDpi="1200" r:id="rId1"/>
  <ignoredErrors>
    <ignoredError sqref="B49:F49 B50:F50"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45"/>
  <sheetViews>
    <sheetView zoomScaleNormal="100" workbookViewId="0">
      <selection activeCell="L24" sqref="L24"/>
    </sheetView>
  </sheetViews>
  <sheetFormatPr baseColWidth="10" defaultColWidth="8.7109375" defaultRowHeight="15" x14ac:dyDescent="0.25"/>
  <cols>
    <col min="1" max="1" width="45.140625" customWidth="1"/>
    <col min="2" max="14" width="9.7109375" customWidth="1"/>
  </cols>
  <sheetData>
    <row r="2" spans="1:14" ht="15.75" thickBot="1" x14ac:dyDescent="0.3">
      <c r="B2" s="274"/>
      <c r="C2" s="274"/>
      <c r="D2" s="274"/>
    </row>
    <row r="3" spans="1:14" ht="19.5" thickTop="1" x14ac:dyDescent="0.3">
      <c r="B3" s="354" t="s">
        <v>117</v>
      </c>
      <c r="C3" s="355"/>
      <c r="D3" s="355"/>
      <c r="E3" s="348" t="str">
        <f>'1. Prosjektinfo'!B4</f>
        <v>Navn på prosjekt</v>
      </c>
      <c r="F3" s="348"/>
      <c r="G3" s="348"/>
      <c r="H3" s="348"/>
      <c r="I3" s="275"/>
    </row>
    <row r="4" spans="1:14" ht="18.75" x14ac:dyDescent="0.3">
      <c r="A4" s="276"/>
      <c r="B4" s="346" t="s">
        <v>43</v>
      </c>
      <c r="C4" s="346"/>
      <c r="D4" s="346"/>
      <c r="E4" s="349" t="str">
        <f>'1. Prosjektinfo'!B5</f>
        <v>Anne Ås</v>
      </c>
      <c r="F4" s="349"/>
      <c r="G4" s="349"/>
      <c r="H4" s="349"/>
      <c r="I4" s="275"/>
    </row>
    <row r="5" spans="1:14" ht="18.75" x14ac:dyDescent="0.3">
      <c r="A5" s="276"/>
      <c r="B5" s="346" t="s">
        <v>118</v>
      </c>
      <c r="C5" s="346"/>
      <c r="D5" s="346"/>
      <c r="E5" s="350">
        <f>'1. Prosjektinfo'!B6</f>
        <v>43466</v>
      </c>
      <c r="F5" s="350"/>
      <c r="G5" s="350"/>
      <c r="H5" s="350"/>
      <c r="I5" s="275"/>
    </row>
    <row r="6" spans="1:14" ht="18.75" x14ac:dyDescent="0.3">
      <c r="B6" s="356" t="s">
        <v>119</v>
      </c>
      <c r="C6" s="346"/>
      <c r="D6" s="346"/>
      <c r="E6" s="350">
        <f>'1. Prosjektinfo'!B7</f>
        <v>45291</v>
      </c>
      <c r="F6" s="350"/>
      <c r="G6" s="350"/>
      <c r="H6" s="351"/>
    </row>
    <row r="7" spans="1:14" ht="18.75" x14ac:dyDescent="0.3">
      <c r="B7" s="356" t="s">
        <v>166</v>
      </c>
      <c r="C7" s="346"/>
      <c r="D7" s="346"/>
      <c r="E7" s="349" t="str">
        <f>'1. Prosjektinfo'!B8</f>
        <v>Bidrag</v>
      </c>
      <c r="F7" s="349"/>
      <c r="G7" s="349"/>
      <c r="H7" s="349"/>
      <c r="I7" s="275"/>
    </row>
    <row r="8" spans="1:14" ht="19.5" thickBot="1" x14ac:dyDescent="0.35">
      <c r="B8" s="357" t="s">
        <v>167</v>
      </c>
      <c r="C8" s="358"/>
      <c r="D8" s="358"/>
      <c r="E8" s="352" t="str">
        <f>'1. Prosjektinfo'!B10</f>
        <v>Norges Forskningsråd</v>
      </c>
      <c r="F8" s="352"/>
      <c r="G8" s="352"/>
      <c r="H8" s="353"/>
      <c r="I8" s="275"/>
    </row>
    <row r="9" spans="1:14" ht="15.75" thickTop="1" x14ac:dyDescent="0.25"/>
    <row r="11" spans="1:14" ht="23.25" x14ac:dyDescent="0.35">
      <c r="A11" s="101" t="s">
        <v>209</v>
      </c>
    </row>
    <row r="13" spans="1:14" ht="21" x14ac:dyDescent="0.35">
      <c r="A13" s="114" t="s">
        <v>185</v>
      </c>
      <c r="B13" s="115"/>
      <c r="C13" s="115"/>
      <c r="D13" s="115"/>
      <c r="E13" s="115"/>
      <c r="F13" s="115"/>
      <c r="G13" s="115"/>
      <c r="H13" s="115"/>
      <c r="I13" s="115"/>
      <c r="J13" s="115"/>
      <c r="K13" s="115"/>
      <c r="L13" s="115"/>
      <c r="M13" s="115"/>
      <c r="N13" s="116"/>
    </row>
    <row r="14" spans="1:14" x14ac:dyDescent="0.25">
      <c r="A14" s="117"/>
      <c r="B14" s="138">
        <f>YEAR('1. Prosjektinfo'!B6)</f>
        <v>2019</v>
      </c>
      <c r="C14" s="138">
        <f>B14+1</f>
        <v>2020</v>
      </c>
      <c r="D14" s="138">
        <f t="shared" ref="D14:K14" si="0">C14+1</f>
        <v>2021</v>
      </c>
      <c r="E14" s="138">
        <f t="shared" si="0"/>
        <v>2022</v>
      </c>
      <c r="F14" s="138">
        <f t="shared" si="0"/>
        <v>2023</v>
      </c>
      <c r="G14" s="138">
        <f t="shared" si="0"/>
        <v>2024</v>
      </c>
      <c r="H14" s="138">
        <f t="shared" si="0"/>
        <v>2025</v>
      </c>
      <c r="I14" s="138">
        <f t="shared" si="0"/>
        <v>2026</v>
      </c>
      <c r="J14" s="138">
        <f t="shared" si="0"/>
        <v>2027</v>
      </c>
      <c r="K14" s="138">
        <f t="shared" si="0"/>
        <v>2028</v>
      </c>
      <c r="L14" s="138">
        <f t="shared" ref="L14" si="1">K14+1</f>
        <v>2029</v>
      </c>
      <c r="M14" s="138">
        <f t="shared" ref="M14" si="2">L14+1</f>
        <v>2030</v>
      </c>
      <c r="N14" s="118" t="s">
        <v>186</v>
      </c>
    </row>
    <row r="15" spans="1:14" x14ac:dyDescent="0.25">
      <c r="A15" s="119" t="s">
        <v>187</v>
      </c>
      <c r="B15" s="120">
        <f>('2. Budsjettering - Direkte lønn'!D58+'3. Budsjettering - Timer'!D59)/1000*-1</f>
        <v>-505.93307091446536</v>
      </c>
      <c r="C15" s="120">
        <f>('2. Budsjettering - Direkte lønn'!E58+'3. Budsjettering - Timer'!E59)/1000*-1</f>
        <v>-567.55953104189939</v>
      </c>
      <c r="D15" s="120">
        <f>('2. Budsjettering - Direkte lønn'!F58+'3. Budsjettering - Timer'!F59)/1000*-1</f>
        <v>-1522.4614045094429</v>
      </c>
      <c r="E15" s="120">
        <f>('2. Budsjettering - Direkte lønn'!G58+'3. Budsjettering - Timer'!G59)/1000*-1</f>
        <v>-1064.5656995647753</v>
      </c>
      <c r="F15" s="120">
        <f>('2. Budsjettering - Direkte lønn'!H58+'3. Budsjettering - Timer'!H59)/1000*-1</f>
        <v>-620.18762367682166</v>
      </c>
      <c r="G15" s="120">
        <f>('2. Budsjettering - Direkte lønn'!I58+'3. Budsjettering - Timer'!I59)/1000*-1</f>
        <v>0</v>
      </c>
      <c r="H15" s="120">
        <f>('2. Budsjettering - Direkte lønn'!J58+'3. Budsjettering - Timer'!J59)/1000*-1</f>
        <v>0</v>
      </c>
      <c r="I15" s="120">
        <f>('2. Budsjettering - Direkte lønn'!K58+'3. Budsjettering - Timer'!K59)/1000*-1</f>
        <v>0</v>
      </c>
      <c r="J15" s="120">
        <f>('2. Budsjettering - Direkte lønn'!L58+'3. Budsjettering - Timer'!L59)/1000*-1</f>
        <v>0</v>
      </c>
      <c r="K15" s="120">
        <f>('2. Budsjettering - Direkte lønn'!M58+'3. Budsjettering - Timer'!M59)/1000*-1</f>
        <v>0</v>
      </c>
      <c r="L15" s="120">
        <f>('2. Budsjettering - Direkte lønn'!N58+'3. Budsjettering - Timer'!N59)/1000*-1</f>
        <v>0</v>
      </c>
      <c r="M15" s="120">
        <f>('2. Budsjettering - Direkte lønn'!O58+'3. Budsjettering - Timer'!O59)/1000*-1</f>
        <v>0</v>
      </c>
      <c r="N15" s="121">
        <f>SUM(B15:M15)</f>
        <v>-4280.7073297074039</v>
      </c>
    </row>
    <row r="16" spans="1:14" x14ac:dyDescent="0.25">
      <c r="A16" s="119" t="s">
        <v>188</v>
      </c>
      <c r="B16" s="120">
        <f>('2. Budsjettering - Direkte lønn'!D56+'3. Budsjettering - Timer'!D58)/1000*-1</f>
        <v>-172.7166</v>
      </c>
      <c r="C16" s="120">
        <f>('2. Budsjettering - Direkte lønn'!E56+'3. Budsjettering - Timer'!E58)/1000*-1</f>
        <v>-262.41083400000002</v>
      </c>
      <c r="D16" s="120">
        <f>('2. Budsjettering - Direkte lønn'!F56+'3. Budsjettering - Timer'!F58)/1000*-1</f>
        <v>-333.13617951999998</v>
      </c>
      <c r="E16" s="120">
        <f>('2. Budsjettering - Direkte lønn'!G56+'3. Budsjettering - Timer'!G58)/1000*-1</f>
        <v>-278.3916537906</v>
      </c>
      <c r="F16" s="120">
        <f>('2. Budsjettering - Direkte lønn'!H56+'3. Budsjettering - Timer'!H58)/1000*-1</f>
        <v>-286.74340340431809</v>
      </c>
      <c r="G16" s="120">
        <f>('2. Budsjettering - Direkte lønn'!I56+'3. Budsjettering - Timer'!I58)/1000*-1</f>
        <v>0</v>
      </c>
      <c r="H16" s="120">
        <f>('2. Budsjettering - Direkte lønn'!J56+'3. Budsjettering - Timer'!J58)/1000*-1</f>
        <v>0</v>
      </c>
      <c r="I16" s="120">
        <f>('2. Budsjettering - Direkte lønn'!K56+'3. Budsjettering - Timer'!K58)/1000*-1</f>
        <v>0</v>
      </c>
      <c r="J16" s="120">
        <f>('2. Budsjettering - Direkte lønn'!L56+'3. Budsjettering - Timer'!L58)/1000*-1</f>
        <v>0</v>
      </c>
      <c r="K16" s="120">
        <f>('2. Budsjettering - Direkte lønn'!M56+'3. Budsjettering - Timer'!M58)/1000*-1</f>
        <v>0</v>
      </c>
      <c r="L16" s="120">
        <f>('2. Budsjettering - Direkte lønn'!N56+'3. Budsjettering - Timer'!N58)/1000*-1</f>
        <v>0</v>
      </c>
      <c r="M16" s="120">
        <f>('2. Budsjettering - Direkte lønn'!O56+'3. Budsjettering - Timer'!O58)/1000*-1</f>
        <v>0</v>
      </c>
      <c r="N16" s="121">
        <f>SUM(B16:M16)</f>
        <v>-1333.3986707149181</v>
      </c>
    </row>
    <row r="17" spans="1:14" x14ac:dyDescent="0.25">
      <c r="A17" s="119" t="s">
        <v>189</v>
      </c>
      <c r="B17" s="120">
        <f>'4. Budsjettering -Drift'!D70/1000*-1</f>
        <v>-230</v>
      </c>
      <c r="C17" s="120">
        <f>'4. Budsjettering -Drift'!E70/1000*-1</f>
        <v>-235.74999999999997</v>
      </c>
      <c r="D17" s="120">
        <f>'4. Budsjettering -Drift'!F70/1000*-1</f>
        <v>-241.64374999999995</v>
      </c>
      <c r="E17" s="120">
        <f>'4. Budsjettering -Drift'!G70/1000*-1</f>
        <v>-247.68484374999989</v>
      </c>
      <c r="F17" s="120">
        <f>'4. Budsjettering -Drift'!H70/1000*-1</f>
        <v>-55.190644531249973</v>
      </c>
      <c r="G17" s="120">
        <f>'4. Budsjettering -Drift'!I70/1000*-1</f>
        <v>0</v>
      </c>
      <c r="H17" s="120">
        <f>'4. Budsjettering -Drift'!J70/1000*-1</f>
        <v>0</v>
      </c>
      <c r="I17" s="120">
        <f>'4. Budsjettering -Drift'!K70/1000*-1</f>
        <v>0</v>
      </c>
      <c r="J17" s="120">
        <f>'4. Budsjettering -Drift'!L70/1000*-1</f>
        <v>0</v>
      </c>
      <c r="K17" s="120">
        <f>'4. Budsjettering -Drift'!M70/1000*-1</f>
        <v>0</v>
      </c>
      <c r="L17" s="120">
        <f>'4. Budsjettering -Drift'!N70/1000*-1</f>
        <v>0</v>
      </c>
      <c r="M17" s="120">
        <f>'4. Budsjettering -Drift'!O70/1000*-1</f>
        <v>0</v>
      </c>
      <c r="N17" s="121">
        <f>SUM(B17:M17)</f>
        <v>-1010.2692382812498</v>
      </c>
    </row>
    <row r="18" spans="1:14" x14ac:dyDescent="0.25">
      <c r="A18" s="253" t="s">
        <v>190</v>
      </c>
      <c r="B18" s="254">
        <f>SUM(B15:B17)</f>
        <v>-908.64967091446533</v>
      </c>
      <c r="C18" s="254">
        <f t="shared" ref="C18:M18" si="3">SUM(C15:C17)</f>
        <v>-1065.7203650418994</v>
      </c>
      <c r="D18" s="254">
        <f t="shared" si="3"/>
        <v>-2097.2413340294429</v>
      </c>
      <c r="E18" s="254">
        <f t="shared" si="3"/>
        <v>-1590.6421971053751</v>
      </c>
      <c r="F18" s="254">
        <f t="shared" si="3"/>
        <v>-962.12167161238972</v>
      </c>
      <c r="G18" s="254">
        <f t="shared" si="3"/>
        <v>0</v>
      </c>
      <c r="H18" s="254">
        <f t="shared" si="3"/>
        <v>0</v>
      </c>
      <c r="I18" s="254">
        <f t="shared" si="3"/>
        <v>0</v>
      </c>
      <c r="J18" s="254">
        <f t="shared" si="3"/>
        <v>0</v>
      </c>
      <c r="K18" s="254">
        <f t="shared" si="3"/>
        <v>0</v>
      </c>
      <c r="L18" s="254">
        <f t="shared" si="3"/>
        <v>0</v>
      </c>
      <c r="M18" s="254">
        <f t="shared" si="3"/>
        <v>0</v>
      </c>
      <c r="N18" s="255">
        <f>SUM(N15:N17)</f>
        <v>-6624.375238703572</v>
      </c>
    </row>
    <row r="19" spans="1:14" x14ac:dyDescent="0.25">
      <c r="A19" s="119" t="s">
        <v>191</v>
      </c>
      <c r="B19" s="120">
        <f>'6. NFR-søknad'!B31</f>
        <v>516.35455952638836</v>
      </c>
      <c r="C19" s="120">
        <f>'6. NFR-søknad'!C31</f>
        <v>616.02740031218013</v>
      </c>
      <c r="D19" s="120">
        <f>'6. NFR-søknad'!D31</f>
        <v>705.3708301428826</v>
      </c>
      <c r="E19" s="120">
        <f>'6. NFR-søknad'!E31</f>
        <v>685.01891125897782</v>
      </c>
      <c r="F19" s="120">
        <f>'6. NFR-søknad'!F31</f>
        <v>487.2571768203033</v>
      </c>
      <c r="G19" s="120">
        <f>'6. NFR-søknad'!G31</f>
        <v>0</v>
      </c>
      <c r="H19" s="120">
        <f>'6. NFR-søknad'!H31</f>
        <v>0</v>
      </c>
      <c r="I19" s="120">
        <f>'6. NFR-søknad'!I31</f>
        <v>0</v>
      </c>
      <c r="J19" s="120">
        <f>'6. NFR-søknad'!J31</f>
        <v>0</v>
      </c>
      <c r="K19" s="120">
        <f>'6. NFR-søknad'!K31</f>
        <v>0</v>
      </c>
      <c r="L19" s="120">
        <f>'6. NFR-søknad'!L31</f>
        <v>0</v>
      </c>
      <c r="M19" s="120">
        <f>'6. NFR-søknad'!M31</f>
        <v>0</v>
      </c>
      <c r="N19" s="121">
        <f>SUM(B19:M19)</f>
        <v>3010.0288780607325</v>
      </c>
    </row>
    <row r="20" spans="1:14" hidden="1" x14ac:dyDescent="0.25">
      <c r="A20" s="119" t="s">
        <v>192</v>
      </c>
      <c r="B20" s="115"/>
      <c r="C20" s="115"/>
      <c r="D20" s="115"/>
      <c r="E20" s="115"/>
      <c r="F20" s="115"/>
      <c r="G20" s="115"/>
      <c r="H20" s="115"/>
      <c r="I20" s="115"/>
      <c r="J20" s="115"/>
      <c r="K20" s="115"/>
      <c r="L20" s="115"/>
      <c r="M20" s="115"/>
      <c r="N20" s="121">
        <f>SUM(B20:M20)</f>
        <v>0</v>
      </c>
    </row>
    <row r="21" spans="1:14" x14ac:dyDescent="0.25">
      <c r="A21" s="119" t="s">
        <v>193</v>
      </c>
      <c r="B21" s="115"/>
      <c r="C21" s="115"/>
      <c r="D21" s="115"/>
      <c r="E21" s="115"/>
      <c r="F21" s="115"/>
      <c r="G21" s="115"/>
      <c r="H21" s="115"/>
      <c r="I21" s="115"/>
      <c r="J21" s="115"/>
      <c r="K21" s="115"/>
      <c r="L21" s="115"/>
      <c r="M21" s="115"/>
      <c r="N21" s="121">
        <f>SUM(B21:M21)</f>
        <v>0</v>
      </c>
    </row>
    <row r="22" spans="1:14" x14ac:dyDescent="0.25">
      <c r="A22" s="253" t="s">
        <v>194</v>
      </c>
      <c r="B22" s="254">
        <f>SUM(B18:B21)</f>
        <v>-392.29511138807698</v>
      </c>
      <c r="C22" s="254">
        <f t="shared" ref="C22:M22" si="4">SUM(C18:C21)</f>
        <v>-449.69296472971928</v>
      </c>
      <c r="D22" s="254">
        <f t="shared" si="4"/>
        <v>-1391.8705038865603</v>
      </c>
      <c r="E22" s="254">
        <f t="shared" si="4"/>
        <v>-905.62328584639727</v>
      </c>
      <c r="F22" s="254">
        <f t="shared" si="4"/>
        <v>-474.86449479208642</v>
      </c>
      <c r="G22" s="254">
        <f t="shared" si="4"/>
        <v>0</v>
      </c>
      <c r="H22" s="254">
        <f t="shared" si="4"/>
        <v>0</v>
      </c>
      <c r="I22" s="254">
        <f t="shared" si="4"/>
        <v>0</v>
      </c>
      <c r="J22" s="254">
        <f t="shared" si="4"/>
        <v>0</v>
      </c>
      <c r="K22" s="254">
        <f t="shared" si="4"/>
        <v>0</v>
      </c>
      <c r="L22" s="254">
        <f t="shared" si="4"/>
        <v>0</v>
      </c>
      <c r="M22" s="254">
        <f t="shared" si="4"/>
        <v>0</v>
      </c>
      <c r="N22" s="255">
        <f>SUM(N18:N21)</f>
        <v>-3614.3463606428395</v>
      </c>
    </row>
    <row r="23" spans="1:14" ht="15.75" x14ac:dyDescent="0.25">
      <c r="A23" s="122"/>
      <c r="B23" s="115"/>
      <c r="C23" s="115"/>
      <c r="D23" s="115"/>
      <c r="E23" s="115"/>
      <c r="F23" s="115"/>
      <c r="G23" s="115"/>
      <c r="H23" s="115"/>
      <c r="I23" s="115"/>
      <c r="J23" s="115"/>
      <c r="K23" s="115"/>
      <c r="L23" s="115"/>
      <c r="M23" s="115"/>
      <c r="N23" s="116"/>
    </row>
    <row r="24" spans="1:14" ht="15.75" x14ac:dyDescent="0.25">
      <c r="A24" s="122"/>
      <c r="B24" s="115"/>
      <c r="C24" s="115"/>
      <c r="D24" s="115"/>
      <c r="E24" s="115"/>
      <c r="F24" s="115"/>
      <c r="G24" s="115"/>
      <c r="H24" s="115"/>
      <c r="I24" s="115"/>
      <c r="J24" s="115"/>
      <c r="K24" s="115"/>
      <c r="L24" s="115"/>
      <c r="M24" s="115"/>
      <c r="N24" s="116"/>
    </row>
    <row r="25" spans="1:14" ht="21" x14ac:dyDescent="0.35">
      <c r="A25" s="114" t="s">
        <v>195</v>
      </c>
      <c r="B25" s="115"/>
      <c r="C25" s="115"/>
      <c r="D25" s="115"/>
      <c r="E25" s="115"/>
      <c r="F25" s="115"/>
      <c r="G25" s="115"/>
      <c r="H25" s="115"/>
      <c r="I25" s="115"/>
      <c r="J25" s="115"/>
      <c r="K25" s="115"/>
      <c r="L25" s="115"/>
      <c r="M25" s="115"/>
      <c r="N25" s="116"/>
    </row>
    <row r="26" spans="1:14" x14ac:dyDescent="0.25">
      <c r="A26" s="123"/>
      <c r="B26" s="115"/>
      <c r="C26" s="115"/>
      <c r="D26" s="115"/>
      <c r="E26" s="115"/>
      <c r="F26" s="115"/>
      <c r="G26" s="115"/>
      <c r="H26" s="115"/>
      <c r="I26" s="115"/>
      <c r="J26" s="115"/>
      <c r="K26" s="115"/>
      <c r="L26" s="115"/>
      <c r="M26" s="115"/>
      <c r="N26" s="116"/>
    </row>
    <row r="27" spans="1:14" x14ac:dyDescent="0.25">
      <c r="A27" s="124" t="s">
        <v>125</v>
      </c>
      <c r="B27" s="120">
        <f>-B15</f>
        <v>505.93307091446536</v>
      </c>
      <c r="C27" s="120">
        <f t="shared" ref="C27:M27" si="5">-C15</f>
        <v>567.55953104189939</v>
      </c>
      <c r="D27" s="120">
        <f t="shared" si="5"/>
        <v>1522.4614045094429</v>
      </c>
      <c r="E27" s="120">
        <f t="shared" si="5"/>
        <v>1064.5656995647753</v>
      </c>
      <c r="F27" s="120">
        <f t="shared" si="5"/>
        <v>620.18762367682166</v>
      </c>
      <c r="G27" s="120">
        <f t="shared" si="5"/>
        <v>0</v>
      </c>
      <c r="H27" s="120">
        <f t="shared" si="5"/>
        <v>0</v>
      </c>
      <c r="I27" s="120">
        <f t="shared" si="5"/>
        <v>0</v>
      </c>
      <c r="J27" s="120">
        <f t="shared" si="5"/>
        <v>0</v>
      </c>
      <c r="K27" s="120">
        <f t="shared" si="5"/>
        <v>0</v>
      </c>
      <c r="L27" s="120">
        <f t="shared" si="5"/>
        <v>0</v>
      </c>
      <c r="M27" s="120">
        <f t="shared" si="5"/>
        <v>0</v>
      </c>
      <c r="N27" s="121">
        <f>SUM(B27:M27)</f>
        <v>4280.7073297074039</v>
      </c>
    </row>
    <row r="28" spans="1:14" x14ac:dyDescent="0.25">
      <c r="A28" s="119" t="s">
        <v>196</v>
      </c>
      <c r="B28" s="120">
        <f>('5. Oppsummering Budsjett'!B118+'5. Oppsummering Budsjett'!B116)/1000</f>
        <v>230</v>
      </c>
      <c r="C28" s="120">
        <f>('5. Oppsummering Budsjett'!C118+'5. Oppsummering Budsjett'!C116)/1000</f>
        <v>235.74999999999997</v>
      </c>
      <c r="D28" s="120">
        <f>('5. Oppsummering Budsjett'!D118+'5. Oppsummering Budsjett'!D116)/1000</f>
        <v>241.64374999999995</v>
      </c>
      <c r="E28" s="120">
        <f>('5. Oppsummering Budsjett'!E118+'5. Oppsummering Budsjett'!E116)/1000</f>
        <v>247.68484374999989</v>
      </c>
      <c r="F28" s="120">
        <f>('5. Oppsummering Budsjett'!F118+'5. Oppsummering Budsjett'!F116)/1000</f>
        <v>55.190644531249973</v>
      </c>
      <c r="G28" s="120">
        <f>('5. Oppsummering Budsjett'!G118+'5. Oppsummering Budsjett'!G116)/1000</f>
        <v>0</v>
      </c>
      <c r="H28" s="120">
        <f>('5. Oppsummering Budsjett'!H118+'5. Oppsummering Budsjett'!H116)/1000</f>
        <v>0</v>
      </c>
      <c r="I28" s="120">
        <f>('5. Oppsummering Budsjett'!I118+'5. Oppsummering Budsjett'!I116)/1000</f>
        <v>0</v>
      </c>
      <c r="J28" s="120">
        <f>('5. Oppsummering Budsjett'!J118+'5. Oppsummering Budsjett'!J116)/1000</f>
        <v>0</v>
      </c>
      <c r="K28" s="120">
        <f>('5. Oppsummering Budsjett'!K118+'5. Oppsummering Budsjett'!K116)/1000</f>
        <v>0</v>
      </c>
      <c r="L28" s="120">
        <f>('5. Oppsummering Budsjett'!L118+'5. Oppsummering Budsjett'!L116)/1000</f>
        <v>0</v>
      </c>
      <c r="M28" s="120">
        <f>('5. Oppsummering Budsjett'!M118+'5. Oppsummering Budsjett'!M116)/1000</f>
        <v>0</v>
      </c>
      <c r="N28" s="121">
        <f>SUM(B28:M28)</f>
        <v>1010.2692382812498</v>
      </c>
    </row>
    <row r="29" spans="1:14" x14ac:dyDescent="0.25">
      <c r="A29" s="119" t="s">
        <v>197</v>
      </c>
      <c r="B29" s="120">
        <f>-B16</f>
        <v>172.7166</v>
      </c>
      <c r="C29" s="120">
        <f t="shared" ref="C29:M29" si="6">-C16</f>
        <v>262.41083400000002</v>
      </c>
      <c r="D29" s="120">
        <f t="shared" si="6"/>
        <v>333.13617951999998</v>
      </c>
      <c r="E29" s="120">
        <f t="shared" si="6"/>
        <v>278.3916537906</v>
      </c>
      <c r="F29" s="120">
        <f t="shared" si="6"/>
        <v>286.74340340431809</v>
      </c>
      <c r="G29" s="120">
        <f t="shared" si="6"/>
        <v>0</v>
      </c>
      <c r="H29" s="120">
        <f t="shared" si="6"/>
        <v>0</v>
      </c>
      <c r="I29" s="120">
        <f t="shared" si="6"/>
        <v>0</v>
      </c>
      <c r="J29" s="120">
        <f t="shared" si="6"/>
        <v>0</v>
      </c>
      <c r="K29" s="120">
        <f t="shared" si="6"/>
        <v>0</v>
      </c>
      <c r="L29" s="120">
        <f t="shared" si="6"/>
        <v>0</v>
      </c>
      <c r="M29" s="120">
        <f t="shared" si="6"/>
        <v>0</v>
      </c>
      <c r="N29" s="121">
        <f>SUM(B29:M29)</f>
        <v>1333.3986707149181</v>
      </c>
    </row>
    <row r="30" spans="1:14" x14ac:dyDescent="0.25">
      <c r="A30" s="253" t="s">
        <v>198</v>
      </c>
      <c r="B30" s="254">
        <f>SUM(B27:B29)</f>
        <v>908.64967091446533</v>
      </c>
      <c r="C30" s="254">
        <f t="shared" ref="C30:M30" si="7">SUM(C27:C29)</f>
        <v>1065.7203650418994</v>
      </c>
      <c r="D30" s="254">
        <f t="shared" si="7"/>
        <v>2097.2413340294429</v>
      </c>
      <c r="E30" s="254">
        <f t="shared" si="7"/>
        <v>1590.6421971053751</v>
      </c>
      <c r="F30" s="254">
        <f t="shared" si="7"/>
        <v>962.12167161238972</v>
      </c>
      <c r="G30" s="254">
        <f t="shared" si="7"/>
        <v>0</v>
      </c>
      <c r="H30" s="254">
        <f t="shared" si="7"/>
        <v>0</v>
      </c>
      <c r="I30" s="254">
        <f t="shared" si="7"/>
        <v>0</v>
      </c>
      <c r="J30" s="254">
        <f t="shared" si="7"/>
        <v>0</v>
      </c>
      <c r="K30" s="254">
        <f t="shared" si="7"/>
        <v>0</v>
      </c>
      <c r="L30" s="254">
        <f t="shared" si="7"/>
        <v>0</v>
      </c>
      <c r="M30" s="254">
        <f t="shared" si="7"/>
        <v>0</v>
      </c>
      <c r="N30" s="255">
        <f>SUM(N27:N29)</f>
        <v>6624.375238703572</v>
      </c>
    </row>
    <row r="31" spans="1:14" x14ac:dyDescent="0.25">
      <c r="A31" s="119" t="s">
        <v>199</v>
      </c>
      <c r="B31" s="120">
        <f>-B19</f>
        <v>-516.35455952638836</v>
      </c>
      <c r="C31" s="120">
        <f t="shared" ref="C31:M31" si="8">-C19</f>
        <v>-616.02740031218013</v>
      </c>
      <c r="D31" s="120">
        <f t="shared" si="8"/>
        <v>-705.3708301428826</v>
      </c>
      <c r="E31" s="120">
        <f t="shared" si="8"/>
        <v>-685.01891125897782</v>
      </c>
      <c r="F31" s="120">
        <f t="shared" si="8"/>
        <v>-487.2571768203033</v>
      </c>
      <c r="G31" s="120">
        <f t="shared" si="8"/>
        <v>0</v>
      </c>
      <c r="H31" s="120">
        <f t="shared" si="8"/>
        <v>0</v>
      </c>
      <c r="I31" s="120">
        <f t="shared" si="8"/>
        <v>0</v>
      </c>
      <c r="J31" s="120">
        <f t="shared" si="8"/>
        <v>0</v>
      </c>
      <c r="K31" s="120">
        <f t="shared" si="8"/>
        <v>0</v>
      </c>
      <c r="L31" s="120">
        <f t="shared" si="8"/>
        <v>0</v>
      </c>
      <c r="M31" s="120">
        <f t="shared" si="8"/>
        <v>0</v>
      </c>
      <c r="N31" s="121">
        <f>SUM(B31:M31)</f>
        <v>-3010.0288780607325</v>
      </c>
    </row>
    <row r="32" spans="1:14" hidden="1" x14ac:dyDescent="0.25">
      <c r="A32" s="119" t="s">
        <v>192</v>
      </c>
      <c r="B32" s="115"/>
      <c r="C32" s="115"/>
      <c r="D32" s="115"/>
      <c r="E32" s="115"/>
      <c r="F32" s="115"/>
      <c r="G32" s="115"/>
      <c r="H32" s="115"/>
      <c r="I32" s="115"/>
      <c r="J32" s="115"/>
      <c r="K32" s="115"/>
      <c r="L32" s="115"/>
      <c r="M32" s="115"/>
      <c r="N32" s="121">
        <f>SUM(B32:M32)</f>
        <v>0</v>
      </c>
    </row>
    <row r="33" spans="1:14" x14ac:dyDescent="0.25">
      <c r="A33" s="119" t="s">
        <v>200</v>
      </c>
      <c r="B33" s="115"/>
      <c r="C33" s="115"/>
      <c r="D33" s="115"/>
      <c r="E33" s="115"/>
      <c r="F33" s="115"/>
      <c r="G33" s="115"/>
      <c r="H33" s="115"/>
      <c r="I33" s="115"/>
      <c r="J33" s="115"/>
      <c r="K33" s="115"/>
      <c r="L33" s="115"/>
      <c r="M33" s="115"/>
      <c r="N33" s="121">
        <f>SUM(B33:M33)</f>
        <v>0</v>
      </c>
    </row>
    <row r="34" spans="1:14" x14ac:dyDescent="0.25">
      <c r="A34" s="253" t="s">
        <v>201</v>
      </c>
      <c r="B34" s="254">
        <f>SUM(B30:B33)</f>
        <v>392.29511138807698</v>
      </c>
      <c r="C34" s="254">
        <f t="shared" ref="C34:M34" si="9">SUM(C30:C33)</f>
        <v>449.69296472971928</v>
      </c>
      <c r="D34" s="254">
        <f t="shared" si="9"/>
        <v>1391.8705038865603</v>
      </c>
      <c r="E34" s="254">
        <f t="shared" si="9"/>
        <v>905.62328584639727</v>
      </c>
      <c r="F34" s="254">
        <f t="shared" si="9"/>
        <v>474.86449479208642</v>
      </c>
      <c r="G34" s="254">
        <f t="shared" si="9"/>
        <v>0</v>
      </c>
      <c r="H34" s="254">
        <f t="shared" si="9"/>
        <v>0</v>
      </c>
      <c r="I34" s="254">
        <f t="shared" si="9"/>
        <v>0</v>
      </c>
      <c r="J34" s="254">
        <f t="shared" si="9"/>
        <v>0</v>
      </c>
      <c r="K34" s="254">
        <f t="shared" si="9"/>
        <v>0</v>
      </c>
      <c r="L34" s="254">
        <f t="shared" si="9"/>
        <v>0</v>
      </c>
      <c r="M34" s="254">
        <f t="shared" si="9"/>
        <v>0</v>
      </c>
      <c r="N34" s="255">
        <f>SUM(N30:N33)</f>
        <v>3614.3463606428395</v>
      </c>
    </row>
    <row r="35" spans="1:14" x14ac:dyDescent="0.25">
      <c r="A35" s="125"/>
      <c r="B35" s="115"/>
      <c r="C35" s="115"/>
      <c r="D35" s="115"/>
      <c r="E35" s="115"/>
      <c r="F35" s="115"/>
      <c r="G35" s="115"/>
      <c r="H35" s="115"/>
      <c r="I35" s="115"/>
      <c r="J35" s="115"/>
      <c r="K35" s="115"/>
      <c r="L35" s="115"/>
      <c r="M35" s="115"/>
      <c r="N35" s="116"/>
    </row>
    <row r="36" spans="1:14" x14ac:dyDescent="0.25">
      <c r="A36" s="126" t="s">
        <v>202</v>
      </c>
      <c r="B36" s="127">
        <f>('2. Budsjettering - Direkte lønn'!D56+'2. Budsjettering - Direkte lønn'!D57+'3. Budsjettering - Timer'!D58)/1000</f>
        <v>788.62148861192304</v>
      </c>
      <c r="C36" s="127">
        <f>('2. Budsjettering - Direkte lønn'!E56+'2. Budsjettering - Direkte lønn'!E57+'3. Budsjettering - Timer'!E58)/1000</f>
        <v>896.79286927028079</v>
      </c>
      <c r="D36" s="127">
        <f>('2. Budsjettering - Direkte lønn'!F56+'2. Budsjettering - Direkte lønn'!F57+'3. Budsjettering - Timer'!F58)/1000</f>
        <v>2364.1125506334397</v>
      </c>
      <c r="E36" s="127">
        <f>('2. Budsjettering - Direkte lønn'!G56+'2. Budsjettering - Direkte lønn'!G57+'3. Budsjettering - Timer'!G58)/1000</f>
        <v>1697.2814148192028</v>
      </c>
      <c r="F36" s="127">
        <f>('2. Budsjettering - Direkte lønn'!H56+'2. Budsjettering - Direkte lønn'!H57+'3. Budsjettering - Timer'!H58)/1000</f>
        <v>979.94978165910652</v>
      </c>
      <c r="G36" s="127">
        <f>('2. Budsjettering - Direkte lønn'!I56+'2. Budsjettering - Direkte lønn'!I57+'3. Budsjettering - Timer'!I58)/1000</f>
        <v>0</v>
      </c>
      <c r="H36" s="127">
        <f>('2. Budsjettering - Direkte lønn'!J56+'2. Budsjettering - Direkte lønn'!J57+'3. Budsjettering - Timer'!J58)/1000</f>
        <v>0</v>
      </c>
      <c r="I36" s="127">
        <f>('2. Budsjettering - Direkte lønn'!K56+'2. Budsjettering - Direkte lønn'!K57+'3. Budsjettering - Timer'!K58)/1000</f>
        <v>0</v>
      </c>
      <c r="J36" s="127">
        <f>('2. Budsjettering - Direkte lønn'!L56+'2. Budsjettering - Direkte lønn'!L57+'3. Budsjettering - Timer'!L58)/1000</f>
        <v>0</v>
      </c>
      <c r="K36" s="127">
        <f>('2. Budsjettering - Direkte lønn'!M56+'2. Budsjettering - Direkte lønn'!M57+'3. Budsjettering - Timer'!M58)/1000</f>
        <v>0</v>
      </c>
      <c r="L36" s="127">
        <f>('2. Budsjettering - Direkte lønn'!N56+'2. Budsjettering - Direkte lønn'!N57+'3. Budsjettering - Timer'!N58)/1000</f>
        <v>0</v>
      </c>
      <c r="M36" s="127">
        <f>('2. Budsjettering - Direkte lønn'!O56+'2. Budsjettering - Direkte lønn'!O57+'3. Budsjettering - Timer'!O58)/1000</f>
        <v>0</v>
      </c>
      <c r="N36" s="128">
        <f>SUM(B36:M36)</f>
        <v>6726.7581049939527</v>
      </c>
    </row>
    <row r="40" spans="1:14" ht="18.75" x14ac:dyDescent="0.3">
      <c r="D40" s="346" t="s">
        <v>477</v>
      </c>
      <c r="E40" s="346"/>
      <c r="F40" s="346"/>
    </row>
    <row r="41" spans="1:14" ht="18.75" x14ac:dyDescent="0.3">
      <c r="B41" s="277"/>
      <c r="C41" s="277"/>
      <c r="D41" s="277"/>
    </row>
    <row r="42" spans="1:14" ht="19.5" thickBot="1" x14ac:dyDescent="0.35">
      <c r="B42" s="277"/>
      <c r="C42" s="277"/>
      <c r="D42" s="277"/>
    </row>
    <row r="43" spans="1:14" ht="19.5" thickTop="1" x14ac:dyDescent="0.3">
      <c r="B43" s="347" t="s">
        <v>478</v>
      </c>
      <c r="C43" s="347"/>
      <c r="D43" s="277"/>
      <c r="F43" s="347" t="s">
        <v>479</v>
      </c>
      <c r="G43" s="347"/>
      <c r="H43" s="347"/>
      <c r="I43" s="347"/>
    </row>
    <row r="44" spans="1:14" ht="18.75" x14ac:dyDescent="0.3">
      <c r="B44" s="277"/>
      <c r="C44" s="277"/>
      <c r="D44" s="277"/>
    </row>
    <row r="45" spans="1:14" ht="18.75" x14ac:dyDescent="0.3">
      <c r="B45" s="277"/>
      <c r="C45" s="277"/>
      <c r="D45" s="277"/>
    </row>
  </sheetData>
  <mergeCells count="15">
    <mergeCell ref="D40:F40"/>
    <mergeCell ref="B43:C43"/>
    <mergeCell ref="F43:I43"/>
    <mergeCell ref="E3:H3"/>
    <mergeCell ref="E4:H4"/>
    <mergeCell ref="E5:H5"/>
    <mergeCell ref="E6:H6"/>
    <mergeCell ref="E7:H7"/>
    <mergeCell ref="E8:H8"/>
    <mergeCell ref="B3:D3"/>
    <mergeCell ref="B4:D4"/>
    <mergeCell ref="B5:D5"/>
    <mergeCell ref="B6:D6"/>
    <mergeCell ref="B7:D7"/>
    <mergeCell ref="B8:D8"/>
  </mergeCells>
  <pageMargins left="0.7" right="0.7" top="0.75" bottom="0.75" header="0.3" footer="0.3"/>
  <pageSetup paperSize="9" scale="73" fitToWidth="0" orientation="landscape" r:id="rId1"/>
  <ignoredErrors>
    <ignoredError sqref="N18" 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87"/>
  <sheetViews>
    <sheetView topLeftCell="AJ1" workbookViewId="0">
      <selection activeCell="E69" sqref="E69"/>
    </sheetView>
  </sheetViews>
  <sheetFormatPr baseColWidth="10" defaultColWidth="11.42578125" defaultRowHeight="15" x14ac:dyDescent="0.25"/>
  <cols>
    <col min="2" max="2" width="29.140625" bestFit="1" customWidth="1"/>
    <col min="5" max="5" width="18.140625" bestFit="1" customWidth="1"/>
    <col min="6" max="7" width="18.140625" customWidth="1"/>
    <col min="13" max="13" width="14.7109375" customWidth="1"/>
    <col min="14" max="14" width="8.42578125" customWidth="1"/>
    <col min="15" max="17" width="11.42578125" customWidth="1"/>
    <col min="19" max="19" width="12.7109375" bestFit="1" customWidth="1"/>
    <col min="31" max="31" width="12.42578125" bestFit="1" customWidth="1"/>
    <col min="50" max="50" width="13.7109375" bestFit="1" customWidth="1"/>
    <col min="51" max="51" width="20.42578125" bestFit="1" customWidth="1"/>
    <col min="56" max="56" width="14.7109375" customWidth="1"/>
  </cols>
  <sheetData>
    <row r="1" spans="1:57" ht="15" customHeight="1" thickBot="1" x14ac:dyDescent="0.3">
      <c r="A1" s="64" t="s">
        <v>155</v>
      </c>
      <c r="B1" s="65" t="s">
        <v>75</v>
      </c>
      <c r="C1" s="65" t="s">
        <v>65</v>
      </c>
      <c r="D1" s="65" t="s">
        <v>116</v>
      </c>
      <c r="E1" s="65" t="s">
        <v>125</v>
      </c>
      <c r="F1" s="66" t="s">
        <v>130</v>
      </c>
      <c r="H1" s="359" t="s">
        <v>518</v>
      </c>
      <c r="I1" s="360"/>
      <c r="J1" s="360"/>
      <c r="K1" s="360"/>
      <c r="L1" s="360"/>
      <c r="M1" s="78" t="s">
        <v>149</v>
      </c>
      <c r="N1" s="79">
        <v>2018</v>
      </c>
      <c r="Q1" s="66"/>
    </row>
    <row r="2" spans="1:57" ht="15.75" thickBot="1" x14ac:dyDescent="0.3">
      <c r="A2" s="38">
        <v>1</v>
      </c>
      <c r="B2" s="1"/>
      <c r="C2" s="1"/>
      <c r="D2" s="1"/>
      <c r="E2" s="1"/>
      <c r="F2" s="60"/>
      <c r="H2" s="80" t="s">
        <v>67</v>
      </c>
      <c r="I2" s="81"/>
      <c r="J2" s="81"/>
      <c r="K2" s="292" t="s">
        <v>68</v>
      </c>
      <c r="L2" s="292"/>
      <c r="M2" s="292"/>
      <c r="N2" s="292"/>
      <c r="O2" s="81"/>
      <c r="P2" s="8"/>
      <c r="Q2" s="60"/>
      <c r="S2" s="88" t="s">
        <v>150</v>
      </c>
      <c r="T2" s="89"/>
      <c r="U2" s="89"/>
      <c r="V2" s="89"/>
      <c r="W2" s="89"/>
      <c r="X2" s="89"/>
      <c r="Y2" s="89"/>
      <c r="Z2" s="90">
        <v>2019</v>
      </c>
      <c r="AB2" s="365" t="s">
        <v>408</v>
      </c>
      <c r="AC2" s="366"/>
      <c r="AD2" s="366"/>
      <c r="AE2" s="366"/>
      <c r="AF2" s="367"/>
      <c r="AP2" s="361" t="s">
        <v>177</v>
      </c>
      <c r="AQ2" s="363"/>
      <c r="AR2" s="362"/>
      <c r="AT2" s="361" t="s">
        <v>178</v>
      </c>
      <c r="AU2" s="363"/>
      <c r="AV2" s="362"/>
      <c r="AX2" s="95" t="s">
        <v>120</v>
      </c>
      <c r="AY2" s="95" t="s">
        <v>151</v>
      </c>
      <c r="BA2" s="113" t="s">
        <v>182</v>
      </c>
      <c r="BC2" s="361" t="s">
        <v>474</v>
      </c>
      <c r="BD2" s="362"/>
    </row>
    <row r="3" spans="1:57" ht="45.75" thickBot="1" x14ac:dyDescent="0.3">
      <c r="A3" s="38">
        <v>2</v>
      </c>
      <c r="B3" s="1" t="s">
        <v>57</v>
      </c>
      <c r="C3" s="1">
        <v>53</v>
      </c>
      <c r="D3" s="1">
        <v>1</v>
      </c>
      <c r="E3" s="67">
        <f t="shared" ref="E3:E34" si="0">VLOOKUP(F3,$S$13:$X$27,6,FALSE)*VLOOKUP(C3,H:Q,5,FALSE)</f>
        <v>430830.02060538461</v>
      </c>
      <c r="F3" s="60" t="str">
        <f>IF(D3=1,VLOOKUP(C3,$AB$5:$AF$88,2,FALSE),VLOOKUP(C3,$AB$5:$AF$88,4,FALSE))</f>
        <v>Forsker 6</v>
      </c>
      <c r="H3" s="293" t="s">
        <v>69</v>
      </c>
      <c r="I3" s="294" t="s">
        <v>70</v>
      </c>
      <c r="J3" s="294" t="s">
        <v>66</v>
      </c>
      <c r="K3" s="294" t="s">
        <v>71</v>
      </c>
      <c r="L3" s="294" t="s">
        <v>113</v>
      </c>
      <c r="M3" s="294" t="s">
        <v>114</v>
      </c>
      <c r="N3" s="294" t="s">
        <v>115</v>
      </c>
      <c r="O3" s="2" t="s">
        <v>72</v>
      </c>
      <c r="P3" s="3" t="s">
        <v>73</v>
      </c>
      <c r="Q3" s="82" t="s">
        <v>74</v>
      </c>
      <c r="S3" s="70"/>
      <c r="T3" s="364" t="s">
        <v>16</v>
      </c>
      <c r="U3" s="364"/>
      <c r="V3" s="364"/>
      <c r="W3" s="364" t="s">
        <v>76</v>
      </c>
      <c r="X3" s="364"/>
      <c r="Y3" s="364"/>
      <c r="Z3" s="10"/>
      <c r="AB3" s="207" t="s">
        <v>409</v>
      </c>
      <c r="AC3" s="364" t="s">
        <v>116</v>
      </c>
      <c r="AD3" s="364"/>
      <c r="AE3" s="364" t="s">
        <v>76</v>
      </c>
      <c r="AF3" s="368"/>
      <c r="AH3" s="71"/>
      <c r="AI3" s="72" t="s">
        <v>81</v>
      </c>
      <c r="AJ3" s="72" t="s">
        <v>82</v>
      </c>
      <c r="AK3" s="72" t="s">
        <v>83</v>
      </c>
      <c r="AL3" s="72" t="s">
        <v>84</v>
      </c>
      <c r="AM3" s="72" t="s">
        <v>85</v>
      </c>
      <c r="AN3" s="73" t="s">
        <v>86</v>
      </c>
      <c r="AP3" s="38"/>
      <c r="AQ3" s="97" t="s">
        <v>175</v>
      </c>
      <c r="AR3" s="98" t="s">
        <v>176</v>
      </c>
      <c r="AT3" s="38"/>
      <c r="AU3" s="97" t="s">
        <v>175</v>
      </c>
      <c r="AV3" s="98" t="s">
        <v>176</v>
      </c>
      <c r="AX3" s="92" t="s">
        <v>121</v>
      </c>
      <c r="AY3" s="94" t="s">
        <v>154</v>
      </c>
      <c r="BA3" s="94" t="s">
        <v>183</v>
      </c>
      <c r="BC3" s="38">
        <v>2016</v>
      </c>
      <c r="BD3" s="163">
        <v>1004000</v>
      </c>
    </row>
    <row r="4" spans="1:57" ht="15.75" thickBot="1" x14ac:dyDescent="0.3">
      <c r="A4" s="38">
        <v>3</v>
      </c>
      <c r="B4" s="1" t="s">
        <v>39</v>
      </c>
      <c r="C4" s="1">
        <v>59</v>
      </c>
      <c r="D4" s="1">
        <v>1</v>
      </c>
      <c r="E4" s="67">
        <f t="shared" si="0"/>
        <v>416945.56638000003</v>
      </c>
      <c r="F4" s="60" t="str">
        <f t="shared" ref="F4:F67" si="1">IF(D4=1,VLOOKUP(C4,$AB$5:$AF$88,2,FALSE),VLOOKUP(C4,$AB$5:$AF$88,4,FALSE))</f>
        <v>Forsker 5</v>
      </c>
      <c r="H4" s="213">
        <v>1</v>
      </c>
      <c r="I4" s="214">
        <v>1</v>
      </c>
      <c r="J4" s="214"/>
      <c r="K4" s="215">
        <v>1</v>
      </c>
      <c r="L4" s="215">
        <v>0</v>
      </c>
      <c r="M4" s="215">
        <v>0</v>
      </c>
      <c r="N4" s="216">
        <f>M4/K4</f>
        <v>0</v>
      </c>
      <c r="O4" s="217">
        <v>0</v>
      </c>
      <c r="P4" s="218"/>
      <c r="Q4" s="219">
        <v>596.4</v>
      </c>
      <c r="S4" s="11" t="s">
        <v>77</v>
      </c>
      <c r="T4" s="9" t="s">
        <v>78</v>
      </c>
      <c r="U4" s="9" t="s">
        <v>79</v>
      </c>
      <c r="V4" s="9" t="s">
        <v>80</v>
      </c>
      <c r="W4" s="9" t="s">
        <v>78</v>
      </c>
      <c r="X4" s="9" t="s">
        <v>79</v>
      </c>
      <c r="Y4" s="9" t="s">
        <v>80</v>
      </c>
      <c r="Z4" s="10" t="s">
        <v>68</v>
      </c>
      <c r="AB4" s="38" t="s">
        <v>65</v>
      </c>
      <c r="AC4" s="1" t="s">
        <v>77</v>
      </c>
      <c r="AD4" s="1" t="s">
        <v>210</v>
      </c>
      <c r="AE4" s="1" t="s">
        <v>77</v>
      </c>
      <c r="AF4" s="60" t="s">
        <v>210</v>
      </c>
      <c r="AH4" s="229" t="s">
        <v>87</v>
      </c>
      <c r="AI4" s="230">
        <v>1972.40371</v>
      </c>
      <c r="AJ4" s="231">
        <v>0.88955455965578756</v>
      </c>
      <c r="AK4" s="232">
        <v>248.56624206271107</v>
      </c>
      <c r="AL4" s="230">
        <v>3546.446379999999</v>
      </c>
      <c r="AM4" s="231">
        <v>0.79451777270940527</v>
      </c>
      <c r="AN4" s="233">
        <v>115.87922926985996</v>
      </c>
      <c r="AP4" s="91">
        <f>Z2</f>
        <v>2019</v>
      </c>
      <c r="AQ4" s="270">
        <f>AR4</f>
        <v>1.0149999999999999</v>
      </c>
      <c r="AR4" s="271">
        <v>1.0149999999999999</v>
      </c>
      <c r="AT4" s="91">
        <f>Z2</f>
        <v>2019</v>
      </c>
      <c r="AU4" s="99">
        <v>1</v>
      </c>
      <c r="AV4" s="100">
        <v>0</v>
      </c>
      <c r="AX4" s="93" t="s">
        <v>122</v>
      </c>
      <c r="AY4" s="94" t="s">
        <v>510</v>
      </c>
      <c r="BA4" s="93" t="s">
        <v>184</v>
      </c>
      <c r="BC4" s="38">
        <v>2017</v>
      </c>
      <c r="BD4" s="163">
        <v>1039000</v>
      </c>
    </row>
    <row r="5" spans="1:57" x14ac:dyDescent="0.25">
      <c r="A5" s="38">
        <v>4</v>
      </c>
      <c r="B5" s="1" t="s">
        <v>16</v>
      </c>
      <c r="C5" s="1">
        <v>61</v>
      </c>
      <c r="D5" s="1">
        <v>1</v>
      </c>
      <c r="E5" s="67">
        <f t="shared" si="0"/>
        <v>432218.49209538469</v>
      </c>
      <c r="F5" s="60" t="str">
        <f t="shared" si="1"/>
        <v>Forsker 5</v>
      </c>
      <c r="H5" s="213">
        <v>2</v>
      </c>
      <c r="I5" s="220">
        <v>217400</v>
      </c>
      <c r="J5" s="220"/>
      <c r="K5" s="215">
        <v>217200</v>
      </c>
      <c r="L5" s="215">
        <f t="shared" ref="L5:L68" si="2">((K5*(1-5/52)*1.12+K5*0.13+1329)*1.141)</f>
        <v>284609.02130769234</v>
      </c>
      <c r="M5" s="215">
        <f>L5-K5</f>
        <v>67409.021307692339</v>
      </c>
      <c r="N5" s="216">
        <f t="shared" ref="N5:N68" si="3">M5/K5</f>
        <v>0.31035461007224835</v>
      </c>
      <c r="O5" s="217">
        <v>18100</v>
      </c>
      <c r="P5" s="218"/>
      <c r="Q5" s="219">
        <v>603.4</v>
      </c>
      <c r="S5" s="12">
        <v>7</v>
      </c>
      <c r="T5" s="13">
        <f>T21</f>
        <v>269</v>
      </c>
      <c r="U5" s="13">
        <f>V21</f>
        <v>546</v>
      </c>
      <c r="V5" s="13">
        <v>24</v>
      </c>
      <c r="W5" s="13">
        <f>T14</f>
        <v>337</v>
      </c>
      <c r="X5" s="13">
        <f>V14</f>
        <v>427</v>
      </c>
      <c r="Y5" s="13">
        <v>41</v>
      </c>
      <c r="Z5" s="60" t="str">
        <f>W21</f>
        <v>&lt; 444'</v>
      </c>
      <c r="AB5" s="38">
        <v>18</v>
      </c>
      <c r="AC5" s="1" t="s">
        <v>132</v>
      </c>
      <c r="AD5" s="17">
        <f>VLOOKUP(AC5,$S$21:$X$27,6,FALSE)</f>
        <v>1.03</v>
      </c>
      <c r="AE5" s="1" t="s">
        <v>131</v>
      </c>
      <c r="AF5" s="208">
        <f>VLOOKUP(AE5,$S$14:$X$20,6,FALSE)</f>
        <v>0.27</v>
      </c>
      <c r="AH5" s="229" t="s">
        <v>88</v>
      </c>
      <c r="AI5" s="230">
        <v>126.13533768343812</v>
      </c>
      <c r="AJ5" s="231">
        <v>5.688706840346841E-2</v>
      </c>
      <c r="AK5" s="232">
        <v>11.382713945699953</v>
      </c>
      <c r="AL5" s="230">
        <v>558.60000000000014</v>
      </c>
      <c r="AM5" s="231">
        <v>0.12514432202848474</v>
      </c>
      <c r="AN5" s="233">
        <v>21.050399419692365</v>
      </c>
      <c r="AP5" s="91">
        <f>AP4+1</f>
        <v>2020</v>
      </c>
      <c r="AQ5" s="105">
        <f>AQ4*AR5</f>
        <v>1.04545</v>
      </c>
      <c r="AR5" s="272">
        <v>1.03</v>
      </c>
      <c r="AT5" s="91">
        <f>AT4+1</f>
        <v>2020</v>
      </c>
      <c r="AU5" s="105">
        <f>AU4*AV5</f>
        <v>1.03</v>
      </c>
      <c r="AV5" s="272">
        <v>1.03</v>
      </c>
      <c r="AY5" s="94" t="s">
        <v>180</v>
      </c>
      <c r="BC5" s="38">
        <v>2018</v>
      </c>
      <c r="BD5" s="163">
        <v>1067000</v>
      </c>
      <c r="BE5" s="170"/>
    </row>
    <row r="6" spans="1:57" x14ac:dyDescent="0.25">
      <c r="A6" s="38">
        <v>5</v>
      </c>
      <c r="B6" s="1" t="s">
        <v>40</v>
      </c>
      <c r="C6" s="1">
        <v>79</v>
      </c>
      <c r="D6" s="1">
        <v>1</v>
      </c>
      <c r="E6" s="67">
        <f t="shared" si="0"/>
        <v>410796.62556765164</v>
      </c>
      <c r="F6" s="60" t="str">
        <f t="shared" si="1"/>
        <v>Forsker 2</v>
      </c>
      <c r="H6" s="213">
        <v>3</v>
      </c>
      <c r="I6" s="220">
        <v>219900</v>
      </c>
      <c r="J6" s="220"/>
      <c r="K6" s="215">
        <v>219700</v>
      </c>
      <c r="L6" s="215">
        <f t="shared" si="2"/>
        <v>287867.45400000003</v>
      </c>
      <c r="M6" s="215">
        <f t="shared" ref="M6:M69" si="4">L6-K6</f>
        <v>68167.454000000027</v>
      </c>
      <c r="N6" s="216">
        <f t="shared" si="3"/>
        <v>0.31027516613563966</v>
      </c>
      <c r="O6" s="217">
        <v>18308.399999999998</v>
      </c>
      <c r="P6" s="218"/>
      <c r="Q6" s="219">
        <v>610.30000000000007</v>
      </c>
      <c r="S6" s="12">
        <v>6</v>
      </c>
      <c r="T6" s="13">
        <f t="shared" ref="T6:T11" si="5">T22</f>
        <v>394</v>
      </c>
      <c r="U6" s="13">
        <f t="shared" ref="U6:U11" si="6">V22</f>
        <v>671</v>
      </c>
      <c r="V6" s="13">
        <v>51</v>
      </c>
      <c r="W6" s="13">
        <f t="shared" ref="W6:W11" si="7">T15</f>
        <v>397</v>
      </c>
      <c r="X6" s="13">
        <f t="shared" ref="X6:X11" si="8">V15</f>
        <v>487</v>
      </c>
      <c r="Y6" s="13">
        <v>52</v>
      </c>
      <c r="Z6" s="60" t="str">
        <f t="shared" ref="Z6:Z11" si="9">W22</f>
        <v>444'-507'</v>
      </c>
      <c r="AB6" s="38">
        <v>19</v>
      </c>
      <c r="AC6" s="1" t="s">
        <v>132</v>
      </c>
      <c r="AD6" s="17">
        <f t="shared" ref="AD6:AD69" si="10">VLOOKUP(AC6,$S$21:$X$27,6,FALSE)</f>
        <v>1.03</v>
      </c>
      <c r="AE6" s="1" t="s">
        <v>131</v>
      </c>
      <c r="AF6" s="208">
        <f t="shared" ref="AF6:AF69" si="11">VLOOKUP(AE6,$S$14:$X$20,6,FALSE)</f>
        <v>0.27</v>
      </c>
      <c r="AH6" s="229" t="s">
        <v>89</v>
      </c>
      <c r="AI6" s="230">
        <v>71.462217681792737</v>
      </c>
      <c r="AJ6" s="231">
        <v>3.2229477798920367E-2</v>
      </c>
      <c r="AK6" s="232">
        <v>6.8994087999620151</v>
      </c>
      <c r="AL6" s="230">
        <v>203.00000000000003</v>
      </c>
      <c r="AM6" s="231">
        <v>4.5478513017870398E-2</v>
      </c>
      <c r="AN6" s="233">
        <v>5.3087192707883242</v>
      </c>
      <c r="AP6" s="91">
        <f>AP5+1</f>
        <v>2021</v>
      </c>
      <c r="AQ6" s="105">
        <f t="shared" ref="AQ6:AQ33" si="12">AQ5*AR6</f>
        <v>1.0768135000000001</v>
      </c>
      <c r="AR6" s="272">
        <v>1.03</v>
      </c>
      <c r="AT6" s="91">
        <f>AT5+1</f>
        <v>2021</v>
      </c>
      <c r="AU6" s="105">
        <f t="shared" ref="AU6:AU33" si="13">AU5*AV6</f>
        <v>1.0609</v>
      </c>
      <c r="AV6" s="272">
        <f>AV5</f>
        <v>1.03</v>
      </c>
      <c r="AY6" s="94" t="s">
        <v>152</v>
      </c>
      <c r="BC6" s="38">
        <v>2019</v>
      </c>
      <c r="BD6" s="163">
        <v>1095000</v>
      </c>
    </row>
    <row r="7" spans="1:57" x14ac:dyDescent="0.25">
      <c r="A7" s="38">
        <v>6</v>
      </c>
      <c r="B7" s="1" t="s">
        <v>41</v>
      </c>
      <c r="C7" s="1">
        <v>71</v>
      </c>
      <c r="D7" s="1">
        <v>1</v>
      </c>
      <c r="E7" s="67">
        <f t="shared" si="0"/>
        <v>405065.47613538464</v>
      </c>
      <c r="F7" s="60" t="str">
        <f t="shared" si="1"/>
        <v>Forsker 3</v>
      </c>
      <c r="H7" s="213">
        <v>4</v>
      </c>
      <c r="I7" s="220">
        <v>222400</v>
      </c>
      <c r="J7" s="220"/>
      <c r="K7" s="215">
        <v>222200</v>
      </c>
      <c r="L7" s="215">
        <f t="shared" si="2"/>
        <v>291125.88669230771</v>
      </c>
      <c r="M7" s="215">
        <f t="shared" si="4"/>
        <v>68925.886692307715</v>
      </c>
      <c r="N7" s="216">
        <f t="shared" si="3"/>
        <v>0.31019750986637135</v>
      </c>
      <c r="O7" s="217">
        <v>18516.699999999997</v>
      </c>
      <c r="P7" s="218"/>
      <c r="Q7" s="219">
        <v>617.30000000000007</v>
      </c>
      <c r="S7" s="12">
        <v>5</v>
      </c>
      <c r="T7" s="13">
        <f t="shared" si="5"/>
        <v>448</v>
      </c>
      <c r="U7" s="13">
        <f t="shared" si="6"/>
        <v>725</v>
      </c>
      <c r="V7" s="13">
        <v>59</v>
      </c>
      <c r="W7" s="13">
        <f t="shared" si="7"/>
        <v>443</v>
      </c>
      <c r="X7" s="13">
        <f t="shared" si="8"/>
        <v>533</v>
      </c>
      <c r="Y7" s="13">
        <v>58</v>
      </c>
      <c r="Z7" s="60" t="str">
        <f t="shared" si="9"/>
        <v>507'-573'</v>
      </c>
      <c r="AB7" s="38">
        <v>20</v>
      </c>
      <c r="AC7" s="1" t="s">
        <v>132</v>
      </c>
      <c r="AD7" s="17">
        <f t="shared" si="10"/>
        <v>1.03</v>
      </c>
      <c r="AE7" s="1" t="s">
        <v>131</v>
      </c>
      <c r="AF7" s="208">
        <f t="shared" si="11"/>
        <v>0.27</v>
      </c>
      <c r="AH7" s="229" t="s">
        <v>90</v>
      </c>
      <c r="AI7" s="230">
        <v>47.29242234653784</v>
      </c>
      <c r="AJ7" s="231">
        <v>2.132889414182353E-2</v>
      </c>
      <c r="AK7" s="232">
        <v>7.3245118494470649</v>
      </c>
      <c r="AL7" s="230">
        <v>155.60000000000002</v>
      </c>
      <c r="AM7" s="231">
        <v>3.4859392244239576E-2</v>
      </c>
      <c r="AN7" s="233">
        <v>7.0243743906128824</v>
      </c>
      <c r="AP7" s="91">
        <f t="shared" ref="AP7:AP33" si="14">AP6+1</f>
        <v>2022</v>
      </c>
      <c r="AQ7" s="105">
        <f t="shared" si="12"/>
        <v>1.1091179050000002</v>
      </c>
      <c r="AR7" s="272">
        <f>AR6</f>
        <v>1.03</v>
      </c>
      <c r="AT7" s="91">
        <f t="shared" ref="AT7:AT33" si="15">AT6+1</f>
        <v>2022</v>
      </c>
      <c r="AU7" s="105">
        <f t="shared" si="13"/>
        <v>1.092727</v>
      </c>
      <c r="AV7" s="272">
        <f t="shared" ref="AV7:AV33" si="16">AV6</f>
        <v>1.03</v>
      </c>
      <c r="AY7" s="109" t="s">
        <v>181</v>
      </c>
      <c r="BC7" s="38">
        <v>2020</v>
      </c>
      <c r="BD7" s="163">
        <v>1125000</v>
      </c>
    </row>
    <row r="8" spans="1:57" ht="15.75" thickBot="1" x14ac:dyDescent="0.3">
      <c r="A8" s="38">
        <v>7</v>
      </c>
      <c r="B8" s="1" t="s">
        <v>64</v>
      </c>
      <c r="C8" s="1">
        <v>23</v>
      </c>
      <c r="D8" s="1">
        <v>1</v>
      </c>
      <c r="E8" s="67">
        <f t="shared" si="0"/>
        <v>418400.14126615389</v>
      </c>
      <c r="F8" s="60" t="str">
        <f t="shared" si="1"/>
        <v>Forsker 7</v>
      </c>
      <c r="H8" s="213">
        <v>5</v>
      </c>
      <c r="I8" s="220">
        <v>224900</v>
      </c>
      <c r="J8" s="220"/>
      <c r="K8" s="215">
        <v>224700</v>
      </c>
      <c r="L8" s="215">
        <f t="shared" si="2"/>
        <v>294384.3193846154</v>
      </c>
      <c r="M8" s="215">
        <f t="shared" si="4"/>
        <v>69684.319384615403</v>
      </c>
      <c r="N8" s="216">
        <f t="shared" si="3"/>
        <v>0.31012158159597419</v>
      </c>
      <c r="O8" s="217">
        <v>18725</v>
      </c>
      <c r="P8" s="218"/>
      <c r="Q8" s="219">
        <v>624.20000000000005</v>
      </c>
      <c r="S8" s="12">
        <v>4</v>
      </c>
      <c r="T8" s="13">
        <f t="shared" si="5"/>
        <v>504</v>
      </c>
      <c r="U8" s="13">
        <f t="shared" si="6"/>
        <v>781</v>
      </c>
      <c r="V8" s="13">
        <v>65</v>
      </c>
      <c r="W8" s="13">
        <f t="shared" si="7"/>
        <v>499</v>
      </c>
      <c r="X8" s="13">
        <f t="shared" si="8"/>
        <v>589</v>
      </c>
      <c r="Y8" s="13">
        <v>65</v>
      </c>
      <c r="Z8" s="60" t="str">
        <f t="shared" si="9"/>
        <v>573'-648'</v>
      </c>
      <c r="AB8" s="38">
        <v>21</v>
      </c>
      <c r="AC8" s="1" t="s">
        <v>132</v>
      </c>
      <c r="AD8" s="17">
        <f t="shared" si="10"/>
        <v>1.03</v>
      </c>
      <c r="AE8" s="1" t="s">
        <v>131</v>
      </c>
      <c r="AF8" s="208">
        <f t="shared" si="11"/>
        <v>0.27</v>
      </c>
      <c r="AH8" s="234" t="s">
        <v>91</v>
      </c>
      <c r="AI8" s="235">
        <v>2217.2936877117691</v>
      </c>
      <c r="AJ8" s="236">
        <v>0.99999999999999989</v>
      </c>
      <c r="AK8" s="237">
        <v>274.1728766578201</v>
      </c>
      <c r="AL8" s="235">
        <v>4463.6463799999992</v>
      </c>
      <c r="AM8" s="236">
        <v>1</v>
      </c>
      <c r="AN8" s="238">
        <v>149.26272235095351</v>
      </c>
      <c r="AP8" s="91">
        <f t="shared" si="14"/>
        <v>2023</v>
      </c>
      <c r="AQ8" s="105">
        <f t="shared" si="12"/>
        <v>1.1423914421500003</v>
      </c>
      <c r="AR8" s="272">
        <f t="shared" ref="AR8:AR33" si="17">AR7</f>
        <v>1.03</v>
      </c>
      <c r="AT8" s="91">
        <f t="shared" si="15"/>
        <v>2023</v>
      </c>
      <c r="AU8" s="105">
        <f t="shared" si="13"/>
        <v>1.1255088100000001</v>
      </c>
      <c r="AV8" s="272">
        <f t="shared" si="16"/>
        <v>1.03</v>
      </c>
      <c r="AY8" s="93" t="s">
        <v>153</v>
      </c>
      <c r="BC8" s="38">
        <v>2021</v>
      </c>
      <c r="BD8" s="163">
        <v>1156000</v>
      </c>
    </row>
    <row r="9" spans="1:57" x14ac:dyDescent="0.25">
      <c r="A9" s="38">
        <v>8</v>
      </c>
      <c r="B9" s="1" t="s">
        <v>19</v>
      </c>
      <c r="C9" s="1">
        <v>68</v>
      </c>
      <c r="D9" s="1">
        <v>1</v>
      </c>
      <c r="E9" s="67">
        <f>VLOOKUP(F9,$S$13:$X$27,6,FALSE)*VLOOKUP(C9,H:Q,5,FALSE)</f>
        <v>436180.17223846162</v>
      </c>
      <c r="F9" s="60" t="str">
        <f>IF(D9=1,VLOOKUP(C9,$AB$5:$AF$88,2,FALSE),VLOOKUP(C9,$AB$5:$AF$88,4,FALSE))</f>
        <v>Forsker 4</v>
      </c>
      <c r="H9" s="213">
        <v>6</v>
      </c>
      <c r="I9" s="220">
        <v>227400</v>
      </c>
      <c r="J9" s="220"/>
      <c r="K9" s="215">
        <v>227200</v>
      </c>
      <c r="L9" s="215">
        <f t="shared" si="2"/>
        <v>297642.75207692309</v>
      </c>
      <c r="M9" s="215">
        <f t="shared" si="4"/>
        <v>70442.75207692309</v>
      </c>
      <c r="N9" s="216">
        <f t="shared" si="3"/>
        <v>0.31004732428223192</v>
      </c>
      <c r="O9" s="217">
        <v>18933.399999999998</v>
      </c>
      <c r="P9" s="218"/>
      <c r="Q9" s="219">
        <v>631.20000000000005</v>
      </c>
      <c r="S9" s="12">
        <v>3</v>
      </c>
      <c r="T9" s="13">
        <f t="shared" si="5"/>
        <v>580</v>
      </c>
      <c r="U9" s="13">
        <f t="shared" si="6"/>
        <v>857</v>
      </c>
      <c r="V9" s="13">
        <v>73</v>
      </c>
      <c r="W9" s="13">
        <f t="shared" si="7"/>
        <v>575</v>
      </c>
      <c r="X9" s="13">
        <f t="shared" si="8"/>
        <v>665</v>
      </c>
      <c r="Y9" s="13">
        <v>72</v>
      </c>
      <c r="Z9" s="60" t="str">
        <f t="shared" si="9"/>
        <v>648'-765'</v>
      </c>
      <c r="AB9" s="38">
        <v>22</v>
      </c>
      <c r="AC9" s="1" t="s">
        <v>132</v>
      </c>
      <c r="AD9" s="17">
        <f t="shared" si="10"/>
        <v>1.03</v>
      </c>
      <c r="AE9" s="1" t="s">
        <v>131</v>
      </c>
      <c r="AF9" s="208">
        <f t="shared" si="11"/>
        <v>0.27</v>
      </c>
      <c r="AH9" s="74" t="s">
        <v>92</v>
      </c>
      <c r="AI9" s="1"/>
      <c r="AJ9" s="1"/>
      <c r="AK9" s="75">
        <v>172</v>
      </c>
      <c r="AL9" s="1"/>
      <c r="AM9" s="1"/>
      <c r="AN9" s="76">
        <v>95</v>
      </c>
      <c r="AP9" s="91">
        <f t="shared" si="14"/>
        <v>2024</v>
      </c>
      <c r="AQ9" s="105">
        <f t="shared" si="12"/>
        <v>1.1766631854145004</v>
      </c>
      <c r="AR9" s="272">
        <f t="shared" si="17"/>
        <v>1.03</v>
      </c>
      <c r="AT9" s="91">
        <f t="shared" si="15"/>
        <v>2024</v>
      </c>
      <c r="AU9" s="105">
        <f t="shared" si="13"/>
        <v>1.1592740743000001</v>
      </c>
      <c r="AV9" s="272">
        <f t="shared" si="16"/>
        <v>1.03</v>
      </c>
      <c r="BC9" s="38">
        <v>2022</v>
      </c>
      <c r="BD9" s="163">
        <v>1187000</v>
      </c>
    </row>
    <row r="10" spans="1:57" x14ac:dyDescent="0.25">
      <c r="A10" s="38">
        <v>9</v>
      </c>
      <c r="B10" s="1" t="s">
        <v>2</v>
      </c>
      <c r="C10" s="1">
        <v>50</v>
      </c>
      <c r="D10" s="1">
        <v>0</v>
      </c>
      <c r="E10" s="67">
        <f t="shared" si="0"/>
        <v>132849.67647000003</v>
      </c>
      <c r="F10" s="60" t="str">
        <f>IF(D10=1,VLOOKUP(C10,$AB$5:$AF$88,2,FALSE),VLOOKUP(C10,$AB$5:$AF$88,4,FALSE))</f>
        <v>Tekn./Adm. 6</v>
      </c>
      <c r="H10" s="213">
        <v>7</v>
      </c>
      <c r="I10" s="220">
        <v>229900</v>
      </c>
      <c r="J10" s="220"/>
      <c r="K10" s="215">
        <v>229700</v>
      </c>
      <c r="L10" s="215">
        <f t="shared" si="2"/>
        <v>300901.18476923078</v>
      </c>
      <c r="M10" s="215">
        <f t="shared" si="4"/>
        <v>71201.184769230778</v>
      </c>
      <c r="N10" s="216">
        <f t="shared" si="3"/>
        <v>0.30997468336626371</v>
      </c>
      <c r="O10" s="217">
        <v>19141.699999999997</v>
      </c>
      <c r="P10" s="218"/>
      <c r="Q10" s="219">
        <v>638.1</v>
      </c>
      <c r="S10" s="12">
        <v>2</v>
      </c>
      <c r="T10" s="13">
        <f t="shared" si="5"/>
        <v>697</v>
      </c>
      <c r="U10" s="13">
        <f t="shared" si="6"/>
        <v>974</v>
      </c>
      <c r="V10" s="13">
        <v>80</v>
      </c>
      <c r="W10" s="13">
        <f t="shared" si="7"/>
        <v>722</v>
      </c>
      <c r="X10" s="13">
        <f t="shared" si="8"/>
        <v>812</v>
      </c>
      <c r="Y10" s="13">
        <v>81</v>
      </c>
      <c r="Z10" s="60" t="str">
        <f t="shared" si="9"/>
        <v>765'-1.014'</v>
      </c>
      <c r="AB10" s="38">
        <v>23</v>
      </c>
      <c r="AC10" s="1" t="s">
        <v>132</v>
      </c>
      <c r="AD10" s="17">
        <f t="shared" si="10"/>
        <v>1.03</v>
      </c>
      <c r="AE10" s="1" t="s">
        <v>131</v>
      </c>
      <c r="AF10" s="208">
        <f t="shared" si="11"/>
        <v>0.27</v>
      </c>
      <c r="AH10" s="38"/>
      <c r="AI10" s="1"/>
      <c r="AJ10" s="1"/>
      <c r="AK10" s="1"/>
      <c r="AL10" s="1"/>
      <c r="AM10" s="1"/>
      <c r="AN10" s="60"/>
      <c r="AP10" s="91">
        <f t="shared" si="14"/>
        <v>2025</v>
      </c>
      <c r="AQ10" s="105">
        <f t="shared" si="12"/>
        <v>1.2119630809769355</v>
      </c>
      <c r="AR10" s="272">
        <f t="shared" si="17"/>
        <v>1.03</v>
      </c>
      <c r="AT10" s="91">
        <f t="shared" si="15"/>
        <v>2025</v>
      </c>
      <c r="AU10" s="105">
        <f t="shared" si="13"/>
        <v>1.1940522965290001</v>
      </c>
      <c r="AV10" s="272">
        <f t="shared" si="16"/>
        <v>1.03</v>
      </c>
      <c r="BC10" s="38">
        <v>2023</v>
      </c>
      <c r="BD10" s="163">
        <f>BD9+35000</f>
        <v>1222000</v>
      </c>
    </row>
    <row r="11" spans="1:57" ht="15.75" thickBot="1" x14ac:dyDescent="0.3">
      <c r="A11" s="38">
        <v>10</v>
      </c>
      <c r="B11" s="1" t="s">
        <v>20</v>
      </c>
      <c r="C11" s="1">
        <v>66</v>
      </c>
      <c r="D11" s="1">
        <v>1</v>
      </c>
      <c r="E11" s="67">
        <f>VLOOKUP(F11,$S$13:$X$27,6,FALSE)*VLOOKUP(C11,H:Q,5,FALSE)</f>
        <v>420982.84216153855</v>
      </c>
      <c r="F11" s="60" t="str">
        <f>IF(D11=1,VLOOKUP(C11,$AB$5:$AF$88,2,FALSE),VLOOKUP(C11,$AB$5:$AF$88,4,FALSE))</f>
        <v>Forsker 4</v>
      </c>
      <c r="H11" s="213">
        <v>8</v>
      </c>
      <c r="I11" s="220">
        <v>232400</v>
      </c>
      <c r="J11" s="220"/>
      <c r="K11" s="215">
        <v>232200</v>
      </c>
      <c r="L11" s="215">
        <f t="shared" si="2"/>
        <v>304159.61746153852</v>
      </c>
      <c r="M11" s="215">
        <f t="shared" si="4"/>
        <v>71959.617461538524</v>
      </c>
      <c r="N11" s="216">
        <f t="shared" si="3"/>
        <v>0.30990360663883948</v>
      </c>
      <c r="O11" s="217">
        <v>19350</v>
      </c>
      <c r="P11" s="218"/>
      <c r="Q11" s="219">
        <v>645</v>
      </c>
      <c r="S11" s="14">
        <v>1</v>
      </c>
      <c r="T11" s="15">
        <f t="shared" si="5"/>
        <v>937</v>
      </c>
      <c r="U11" s="15">
        <f t="shared" si="6"/>
        <v>1214</v>
      </c>
      <c r="V11" s="15">
        <v>91</v>
      </c>
      <c r="W11" s="15">
        <f t="shared" si="7"/>
        <v>963</v>
      </c>
      <c r="X11" s="15">
        <f t="shared" si="8"/>
        <v>1053</v>
      </c>
      <c r="Y11" s="15">
        <v>93</v>
      </c>
      <c r="Z11" s="269" t="str">
        <f t="shared" si="9"/>
        <v>&gt;1.014'</v>
      </c>
      <c r="AB11" s="38">
        <v>24</v>
      </c>
      <c r="AC11" s="1" t="s">
        <v>132</v>
      </c>
      <c r="AD11" s="17">
        <f t="shared" si="10"/>
        <v>1.03</v>
      </c>
      <c r="AE11" s="1" t="s">
        <v>131</v>
      </c>
      <c r="AF11" s="208">
        <f t="shared" si="11"/>
        <v>0.27</v>
      </c>
      <c r="AH11" s="61" t="s">
        <v>124</v>
      </c>
      <c r="AI11" s="62"/>
      <c r="AJ11" s="62"/>
      <c r="AK11" s="69">
        <v>281000</v>
      </c>
      <c r="AL11" s="62"/>
      <c r="AM11" s="62"/>
      <c r="AN11" s="77">
        <v>154000</v>
      </c>
      <c r="AP11" s="91">
        <f t="shared" si="14"/>
        <v>2026</v>
      </c>
      <c r="AQ11" s="105">
        <f t="shared" si="12"/>
        <v>1.2483219734062436</v>
      </c>
      <c r="AR11" s="272">
        <f t="shared" si="17"/>
        <v>1.03</v>
      </c>
      <c r="AT11" s="91">
        <f t="shared" si="15"/>
        <v>2026</v>
      </c>
      <c r="AU11" s="105">
        <f t="shared" si="13"/>
        <v>1.2298738654248702</v>
      </c>
      <c r="AV11" s="272">
        <f t="shared" si="16"/>
        <v>1.03</v>
      </c>
      <c r="BC11" s="38">
        <v>2024</v>
      </c>
      <c r="BD11" s="163">
        <f t="shared" ref="BD11:BD32" si="18">BD10+35000</f>
        <v>1257000</v>
      </c>
    </row>
    <row r="12" spans="1:57" ht="15.75" thickBot="1" x14ac:dyDescent="0.3">
      <c r="A12" s="38">
        <v>11</v>
      </c>
      <c r="B12" s="1" t="s">
        <v>43</v>
      </c>
      <c r="C12" s="1">
        <v>68</v>
      </c>
      <c r="D12" s="1">
        <v>0</v>
      </c>
      <c r="E12" s="67">
        <f t="shared" si="0"/>
        <v>142749.87455076922</v>
      </c>
      <c r="F12" s="60" t="str">
        <f t="shared" si="1"/>
        <v>Tekn./Adm. 4</v>
      </c>
      <c r="H12" s="213">
        <v>9</v>
      </c>
      <c r="I12" s="220">
        <v>234900</v>
      </c>
      <c r="J12" s="220"/>
      <c r="K12" s="215">
        <v>234700</v>
      </c>
      <c r="L12" s="215">
        <f t="shared" si="2"/>
        <v>307418.05015384615</v>
      </c>
      <c r="M12" s="215">
        <f t="shared" si="4"/>
        <v>72718.050153846154</v>
      </c>
      <c r="N12" s="216">
        <f t="shared" si="3"/>
        <v>0.30983404411523713</v>
      </c>
      <c r="O12" s="217">
        <v>19558.399999999998</v>
      </c>
      <c r="P12" s="218"/>
      <c r="Q12" s="219">
        <v>652</v>
      </c>
      <c r="AB12" s="38">
        <v>25</v>
      </c>
      <c r="AC12" s="1" t="s">
        <v>132</v>
      </c>
      <c r="AD12" s="17">
        <f t="shared" si="10"/>
        <v>1.03</v>
      </c>
      <c r="AE12" s="1" t="s">
        <v>131</v>
      </c>
      <c r="AF12" s="208">
        <f t="shared" si="11"/>
        <v>0.27</v>
      </c>
      <c r="AP12" s="91">
        <f t="shared" si="14"/>
        <v>2027</v>
      </c>
      <c r="AQ12" s="105">
        <f t="shared" si="12"/>
        <v>1.285771632608431</v>
      </c>
      <c r="AR12" s="272">
        <f t="shared" si="17"/>
        <v>1.03</v>
      </c>
      <c r="AT12" s="91">
        <f t="shared" si="15"/>
        <v>2027</v>
      </c>
      <c r="AU12" s="105">
        <f t="shared" si="13"/>
        <v>1.2667700813876164</v>
      </c>
      <c r="AV12" s="272">
        <f t="shared" si="16"/>
        <v>1.03</v>
      </c>
      <c r="BC12" s="38">
        <v>2025</v>
      </c>
      <c r="BD12" s="163">
        <f t="shared" si="18"/>
        <v>1292000</v>
      </c>
    </row>
    <row r="13" spans="1:57" x14ac:dyDescent="0.25">
      <c r="A13" s="38"/>
      <c r="B13" s="1" t="s">
        <v>30</v>
      </c>
      <c r="C13" s="1">
        <v>46</v>
      </c>
      <c r="D13" s="1">
        <v>0</v>
      </c>
      <c r="E13" s="67">
        <f t="shared" si="0"/>
        <v>146346.80508000002</v>
      </c>
      <c r="F13" s="60" t="str">
        <f t="shared" si="1"/>
        <v>Tekn./Adm. 7</v>
      </c>
      <c r="H13" s="213">
        <v>10</v>
      </c>
      <c r="I13" s="220">
        <v>237400</v>
      </c>
      <c r="J13" s="220"/>
      <c r="K13" s="215">
        <v>237200</v>
      </c>
      <c r="L13" s="215">
        <f t="shared" si="2"/>
        <v>310676.48284615384</v>
      </c>
      <c r="M13" s="215">
        <f t="shared" si="4"/>
        <v>73476.482846153842</v>
      </c>
      <c r="N13" s="216">
        <f t="shared" si="3"/>
        <v>0.30976594791801787</v>
      </c>
      <c r="O13" s="217">
        <v>19766.699999999997</v>
      </c>
      <c r="P13" s="218"/>
      <c r="Q13" s="219">
        <v>658.9</v>
      </c>
      <c r="S13" s="64"/>
      <c r="T13" s="65" t="s">
        <v>78</v>
      </c>
      <c r="U13" s="65" t="s">
        <v>145</v>
      </c>
      <c r="V13" s="65" t="s">
        <v>79</v>
      </c>
      <c r="W13" s="66" t="s">
        <v>68</v>
      </c>
      <c r="X13" s="143" t="s">
        <v>210</v>
      </c>
      <c r="AB13" s="38">
        <v>26</v>
      </c>
      <c r="AC13" s="1" t="s">
        <v>132</v>
      </c>
      <c r="AD13" s="17">
        <f t="shared" si="10"/>
        <v>1.03</v>
      </c>
      <c r="AE13" s="1" t="s">
        <v>131</v>
      </c>
      <c r="AF13" s="208">
        <f t="shared" si="11"/>
        <v>0.27</v>
      </c>
      <c r="AP13" s="91">
        <f t="shared" si="14"/>
        <v>2028</v>
      </c>
      <c r="AQ13" s="105">
        <f t="shared" si="12"/>
        <v>1.324344781586684</v>
      </c>
      <c r="AR13" s="272">
        <f t="shared" si="17"/>
        <v>1.03</v>
      </c>
      <c r="AT13" s="91">
        <f t="shared" si="15"/>
        <v>2028</v>
      </c>
      <c r="AU13" s="105">
        <f t="shared" si="13"/>
        <v>1.3047731838292449</v>
      </c>
      <c r="AV13" s="272">
        <f t="shared" si="16"/>
        <v>1.03</v>
      </c>
      <c r="BC13" s="38">
        <v>2026</v>
      </c>
      <c r="BD13" s="163">
        <f t="shared" si="18"/>
        <v>1327000</v>
      </c>
    </row>
    <row r="14" spans="1:57" x14ac:dyDescent="0.25">
      <c r="A14" s="38"/>
      <c r="B14" s="1" t="s">
        <v>26</v>
      </c>
      <c r="C14" s="1">
        <v>19</v>
      </c>
      <c r="D14" s="1">
        <v>0</v>
      </c>
      <c r="E14" s="67">
        <f t="shared" si="0"/>
        <v>104539.8102646154</v>
      </c>
      <c r="F14" s="60" t="str">
        <f t="shared" si="1"/>
        <v>Tekn./Adm. 7</v>
      </c>
      <c r="H14" s="213">
        <v>11</v>
      </c>
      <c r="I14" s="220">
        <v>239900</v>
      </c>
      <c r="J14" s="220"/>
      <c r="K14" s="215">
        <v>239700</v>
      </c>
      <c r="L14" s="215">
        <f t="shared" si="2"/>
        <v>313934.91553846159</v>
      </c>
      <c r="M14" s="215">
        <f t="shared" si="4"/>
        <v>74234.915538461588</v>
      </c>
      <c r="N14" s="216">
        <f t="shared" si="3"/>
        <v>0.30969927216713222</v>
      </c>
      <c r="O14" s="217">
        <v>19975</v>
      </c>
      <c r="P14" s="218"/>
      <c r="Q14" s="219">
        <v>665.9</v>
      </c>
      <c r="S14" s="38" t="s">
        <v>131</v>
      </c>
      <c r="T14" s="67">
        <v>337</v>
      </c>
      <c r="U14" s="18">
        <v>90</v>
      </c>
      <c r="V14" s="18">
        <f>T14+U14</f>
        <v>427</v>
      </c>
      <c r="W14" s="60" t="s">
        <v>519</v>
      </c>
      <c r="X14" s="144">
        <v>0.27</v>
      </c>
      <c r="AB14" s="38">
        <v>27</v>
      </c>
      <c r="AC14" s="1" t="s">
        <v>132</v>
      </c>
      <c r="AD14" s="17">
        <f t="shared" si="10"/>
        <v>1.03</v>
      </c>
      <c r="AE14" s="1" t="s">
        <v>131</v>
      </c>
      <c r="AF14" s="208">
        <f t="shared" si="11"/>
        <v>0.27</v>
      </c>
      <c r="AP14" s="91">
        <f t="shared" si="14"/>
        <v>2029</v>
      </c>
      <c r="AQ14" s="105">
        <f t="shared" si="12"/>
        <v>1.3640751250342846</v>
      </c>
      <c r="AR14" s="272">
        <f t="shared" si="17"/>
        <v>1.03</v>
      </c>
      <c r="AT14" s="91">
        <f t="shared" si="15"/>
        <v>2029</v>
      </c>
      <c r="AU14" s="105">
        <f t="shared" si="13"/>
        <v>1.3439163793441222</v>
      </c>
      <c r="AV14" s="272">
        <f t="shared" si="16"/>
        <v>1.03</v>
      </c>
      <c r="BC14" s="38">
        <v>2027</v>
      </c>
      <c r="BD14" s="163">
        <f t="shared" si="18"/>
        <v>1362000</v>
      </c>
    </row>
    <row r="15" spans="1:57" x14ac:dyDescent="0.25">
      <c r="A15" s="38"/>
      <c r="B15" s="1" t="s">
        <v>60</v>
      </c>
      <c r="C15" s="1">
        <v>19</v>
      </c>
      <c r="D15" s="1">
        <v>0</v>
      </c>
      <c r="E15" s="67">
        <f t="shared" si="0"/>
        <v>104539.8102646154</v>
      </c>
      <c r="F15" s="60" t="str">
        <f t="shared" si="1"/>
        <v>Tekn./Adm. 7</v>
      </c>
      <c r="H15" s="213">
        <v>12</v>
      </c>
      <c r="I15" s="220">
        <v>242400</v>
      </c>
      <c r="J15" s="220"/>
      <c r="K15" s="215">
        <v>242200</v>
      </c>
      <c r="L15" s="215">
        <f t="shared" si="2"/>
        <v>317193.34823076928</v>
      </c>
      <c r="M15" s="215">
        <f t="shared" si="4"/>
        <v>74993.348230769276</v>
      </c>
      <c r="N15" s="216">
        <f t="shared" si="3"/>
        <v>0.30963397287683431</v>
      </c>
      <c r="O15" s="217">
        <v>20183.399999999998</v>
      </c>
      <c r="P15" s="218"/>
      <c r="Q15" s="219">
        <v>672.80000000000007</v>
      </c>
      <c r="S15" s="38" t="s">
        <v>133</v>
      </c>
      <c r="T15" s="67">
        <v>397</v>
      </c>
      <c r="U15" s="18">
        <f>$U$14</f>
        <v>90</v>
      </c>
      <c r="V15" s="18">
        <f t="shared" ref="V15:V27" si="19">T15+U15</f>
        <v>487</v>
      </c>
      <c r="W15" s="60" t="s">
        <v>520</v>
      </c>
      <c r="X15" s="144">
        <v>0.23</v>
      </c>
      <c r="AB15" s="38">
        <v>28</v>
      </c>
      <c r="AC15" s="1" t="s">
        <v>132</v>
      </c>
      <c r="AD15" s="17">
        <f t="shared" si="10"/>
        <v>1.03</v>
      </c>
      <c r="AE15" s="1" t="s">
        <v>131</v>
      </c>
      <c r="AF15" s="208">
        <f t="shared" si="11"/>
        <v>0.27</v>
      </c>
      <c r="AP15" s="91">
        <f t="shared" si="14"/>
        <v>2030</v>
      </c>
      <c r="AQ15" s="105">
        <f t="shared" si="12"/>
        <v>1.4049973787853132</v>
      </c>
      <c r="AR15" s="272">
        <f t="shared" si="17"/>
        <v>1.03</v>
      </c>
      <c r="AT15" s="91">
        <f t="shared" si="15"/>
        <v>2030</v>
      </c>
      <c r="AU15" s="105">
        <f t="shared" si="13"/>
        <v>1.3842338707244459</v>
      </c>
      <c r="AV15" s="272">
        <f t="shared" si="16"/>
        <v>1.03</v>
      </c>
      <c r="BC15" s="38">
        <v>2028</v>
      </c>
      <c r="BD15" s="163">
        <f t="shared" si="18"/>
        <v>1397000</v>
      </c>
    </row>
    <row r="16" spans="1:57" x14ac:dyDescent="0.25">
      <c r="A16" s="38"/>
      <c r="B16" s="1" t="s">
        <v>35</v>
      </c>
      <c r="C16" s="1">
        <v>21</v>
      </c>
      <c r="D16" s="1">
        <v>0</v>
      </c>
      <c r="E16" s="67">
        <f t="shared" si="0"/>
        <v>107073.56752615386</v>
      </c>
      <c r="F16" s="60" t="str">
        <f t="shared" si="1"/>
        <v>Tekn./Adm. 7</v>
      </c>
      <c r="H16" s="213">
        <v>13</v>
      </c>
      <c r="I16" s="220">
        <v>244900</v>
      </c>
      <c r="J16" s="220"/>
      <c r="K16" s="215">
        <v>244700</v>
      </c>
      <c r="L16" s="215">
        <f t="shared" si="2"/>
        <v>320451.78092307702</v>
      </c>
      <c r="M16" s="215">
        <f t="shared" si="4"/>
        <v>75751.780923077022</v>
      </c>
      <c r="N16" s="216">
        <f t="shared" si="3"/>
        <v>0.30957000785891714</v>
      </c>
      <c r="O16" s="217">
        <v>20391.699999999997</v>
      </c>
      <c r="P16" s="218"/>
      <c r="Q16" s="219">
        <v>679.80000000000007</v>
      </c>
      <c r="S16" s="38" t="s">
        <v>135</v>
      </c>
      <c r="T16" s="67">
        <v>443</v>
      </c>
      <c r="U16" s="18">
        <f t="shared" ref="U16:U20" si="20">$U$14</f>
        <v>90</v>
      </c>
      <c r="V16" s="18">
        <f t="shared" si="19"/>
        <v>533</v>
      </c>
      <c r="W16" s="60" t="s">
        <v>521</v>
      </c>
      <c r="X16" s="144">
        <v>0.21</v>
      </c>
      <c r="AB16" s="38">
        <v>29</v>
      </c>
      <c r="AC16" s="1" t="s">
        <v>132</v>
      </c>
      <c r="AD16" s="17">
        <f t="shared" si="10"/>
        <v>1.03</v>
      </c>
      <c r="AE16" s="1" t="s">
        <v>131</v>
      </c>
      <c r="AF16" s="208">
        <f t="shared" si="11"/>
        <v>0.27</v>
      </c>
      <c r="AP16" s="91">
        <f t="shared" si="14"/>
        <v>2031</v>
      </c>
      <c r="AQ16" s="105">
        <f t="shared" si="12"/>
        <v>1.4471473001488726</v>
      </c>
      <c r="AR16" s="272">
        <f t="shared" si="17"/>
        <v>1.03</v>
      </c>
      <c r="AT16" s="91">
        <f t="shared" si="15"/>
        <v>2031</v>
      </c>
      <c r="AU16" s="105">
        <f t="shared" si="13"/>
        <v>1.4257608868461793</v>
      </c>
      <c r="AV16" s="272">
        <f t="shared" si="16"/>
        <v>1.03</v>
      </c>
      <c r="BC16" s="38">
        <v>2029</v>
      </c>
      <c r="BD16" s="163">
        <f t="shared" si="18"/>
        <v>1432000</v>
      </c>
    </row>
    <row r="17" spans="1:56" x14ac:dyDescent="0.25">
      <c r="A17" s="38"/>
      <c r="B17" s="1" t="s">
        <v>36</v>
      </c>
      <c r="C17" s="1">
        <v>27</v>
      </c>
      <c r="D17" s="1">
        <v>0</v>
      </c>
      <c r="E17" s="67">
        <f t="shared" si="0"/>
        <v>115308.27862615387</v>
      </c>
      <c r="F17" s="60" t="str">
        <f t="shared" si="1"/>
        <v>Tekn./Adm. 7</v>
      </c>
      <c r="H17" s="213">
        <v>14</v>
      </c>
      <c r="I17" s="220">
        <v>247400</v>
      </c>
      <c r="J17" s="220"/>
      <c r="K17" s="215">
        <v>247200</v>
      </c>
      <c r="L17" s="215">
        <f t="shared" si="2"/>
        <v>323710.21361538465</v>
      </c>
      <c r="M17" s="215">
        <f t="shared" si="4"/>
        <v>76510.213615384651</v>
      </c>
      <c r="N17" s="216">
        <f t="shared" si="3"/>
        <v>0.30950733663181496</v>
      </c>
      <c r="O17" s="217">
        <v>20600</v>
      </c>
      <c r="P17" s="218"/>
      <c r="Q17" s="219">
        <v>686.7</v>
      </c>
      <c r="S17" s="38" t="s">
        <v>137</v>
      </c>
      <c r="T17" s="67">
        <v>499</v>
      </c>
      <c r="U17" s="18">
        <f t="shared" si="20"/>
        <v>90</v>
      </c>
      <c r="V17" s="18">
        <f t="shared" si="19"/>
        <v>589</v>
      </c>
      <c r="W17" s="60" t="s">
        <v>522</v>
      </c>
      <c r="X17" s="144">
        <v>0.18</v>
      </c>
      <c r="AB17" s="38">
        <v>30</v>
      </c>
      <c r="AC17" s="1" t="s">
        <v>132</v>
      </c>
      <c r="AD17" s="17">
        <f t="shared" si="10"/>
        <v>1.03</v>
      </c>
      <c r="AE17" s="1" t="s">
        <v>131</v>
      </c>
      <c r="AF17" s="208">
        <f t="shared" si="11"/>
        <v>0.27</v>
      </c>
      <c r="AP17" s="91">
        <f t="shared" si="14"/>
        <v>2032</v>
      </c>
      <c r="AQ17" s="105">
        <f t="shared" si="12"/>
        <v>1.4905617191533389</v>
      </c>
      <c r="AR17" s="272">
        <f t="shared" si="17"/>
        <v>1.03</v>
      </c>
      <c r="AT17" s="91">
        <f t="shared" si="15"/>
        <v>2032</v>
      </c>
      <c r="AU17" s="105">
        <f t="shared" si="13"/>
        <v>1.4685337134515648</v>
      </c>
      <c r="AV17" s="272">
        <f t="shared" si="16"/>
        <v>1.03</v>
      </c>
      <c r="BC17" s="38">
        <v>2030</v>
      </c>
      <c r="BD17" s="163">
        <f t="shared" si="18"/>
        <v>1467000</v>
      </c>
    </row>
    <row r="18" spans="1:56" x14ac:dyDescent="0.25">
      <c r="A18" s="38"/>
      <c r="B18" s="1" t="s">
        <v>37</v>
      </c>
      <c r="C18" s="1">
        <v>28</v>
      </c>
      <c r="D18" s="1">
        <v>0</v>
      </c>
      <c r="E18" s="67">
        <f t="shared" si="0"/>
        <v>116680.73047615388</v>
      </c>
      <c r="F18" s="60" t="str">
        <f t="shared" si="1"/>
        <v>Tekn./Adm. 7</v>
      </c>
      <c r="H18" s="213">
        <v>15</v>
      </c>
      <c r="I18" s="220">
        <v>250100</v>
      </c>
      <c r="J18" s="220"/>
      <c r="K18" s="215">
        <v>249900</v>
      </c>
      <c r="L18" s="215">
        <f t="shared" si="2"/>
        <v>327229.320923077</v>
      </c>
      <c r="M18" s="215">
        <f t="shared" si="4"/>
        <v>77329.320923077001</v>
      </c>
      <c r="N18" s="216">
        <f t="shared" si="3"/>
        <v>0.30944106011635453</v>
      </c>
      <c r="O18" s="217">
        <v>20825</v>
      </c>
      <c r="P18" s="218"/>
      <c r="Q18" s="219">
        <v>694.2</v>
      </c>
      <c r="S18" s="38" t="s">
        <v>139</v>
      </c>
      <c r="T18" s="67">
        <v>575</v>
      </c>
      <c r="U18" s="18">
        <f t="shared" si="20"/>
        <v>90</v>
      </c>
      <c r="V18" s="18">
        <f t="shared" si="19"/>
        <v>665</v>
      </c>
      <c r="W18" s="60" t="s">
        <v>523</v>
      </c>
      <c r="X18" s="144">
        <v>0.16</v>
      </c>
      <c r="AB18" s="38">
        <v>31</v>
      </c>
      <c r="AC18" s="1" t="s">
        <v>132</v>
      </c>
      <c r="AD18" s="17">
        <f t="shared" si="10"/>
        <v>1.03</v>
      </c>
      <c r="AE18" s="1" t="s">
        <v>131</v>
      </c>
      <c r="AF18" s="208">
        <f t="shared" si="11"/>
        <v>0.27</v>
      </c>
      <c r="AP18" s="91">
        <f t="shared" si="14"/>
        <v>2033</v>
      </c>
      <c r="AQ18" s="105">
        <f t="shared" si="12"/>
        <v>1.5352785707279391</v>
      </c>
      <c r="AR18" s="272">
        <f t="shared" si="17"/>
        <v>1.03</v>
      </c>
      <c r="AT18" s="91">
        <f t="shared" si="15"/>
        <v>2033</v>
      </c>
      <c r="AU18" s="105">
        <f t="shared" si="13"/>
        <v>1.5125897248551119</v>
      </c>
      <c r="AV18" s="272">
        <f t="shared" si="16"/>
        <v>1.03</v>
      </c>
      <c r="BC18" s="38">
        <v>2031</v>
      </c>
      <c r="BD18" s="163">
        <f t="shared" si="18"/>
        <v>1502000</v>
      </c>
    </row>
    <row r="19" spans="1:56" x14ac:dyDescent="0.25">
      <c r="A19" s="38"/>
      <c r="B19" s="1" t="s">
        <v>48</v>
      </c>
      <c r="C19" s="1">
        <v>31</v>
      </c>
      <c r="D19" s="1">
        <v>0</v>
      </c>
      <c r="E19" s="67">
        <f t="shared" si="0"/>
        <v>120622.13066076925</v>
      </c>
      <c r="F19" s="60" t="str">
        <f t="shared" si="1"/>
        <v>Tekn./Adm. 7</v>
      </c>
      <c r="H19" s="213">
        <v>16</v>
      </c>
      <c r="I19" s="220">
        <v>253200</v>
      </c>
      <c r="J19" s="220"/>
      <c r="K19" s="215">
        <v>253000</v>
      </c>
      <c r="L19" s="215">
        <f t="shared" si="2"/>
        <v>331269.7774615385</v>
      </c>
      <c r="M19" s="215">
        <f t="shared" si="4"/>
        <v>78269.777461538499</v>
      </c>
      <c r="N19" s="216">
        <f t="shared" si="3"/>
        <v>0.30936670933414429</v>
      </c>
      <c r="O19" s="217">
        <v>21083.399999999998</v>
      </c>
      <c r="P19" s="218"/>
      <c r="Q19" s="219">
        <v>702.80000000000007</v>
      </c>
      <c r="S19" s="38" t="s">
        <v>142</v>
      </c>
      <c r="T19" s="67">
        <v>722</v>
      </c>
      <c r="U19" s="18">
        <f t="shared" si="20"/>
        <v>90</v>
      </c>
      <c r="V19" s="18">
        <f t="shared" si="19"/>
        <v>812</v>
      </c>
      <c r="W19" s="60" t="s">
        <v>524</v>
      </c>
      <c r="X19" s="144">
        <v>0.13</v>
      </c>
      <c r="AB19" s="38">
        <v>32</v>
      </c>
      <c r="AC19" s="1" t="s">
        <v>132</v>
      </c>
      <c r="AD19" s="17">
        <f t="shared" si="10"/>
        <v>1.03</v>
      </c>
      <c r="AE19" s="1" t="s">
        <v>131</v>
      </c>
      <c r="AF19" s="208">
        <f t="shared" si="11"/>
        <v>0.27</v>
      </c>
      <c r="AP19" s="91">
        <f t="shared" si="14"/>
        <v>2034</v>
      </c>
      <c r="AQ19" s="105">
        <f t="shared" si="12"/>
        <v>1.5813369278497773</v>
      </c>
      <c r="AR19" s="272">
        <f t="shared" si="17"/>
        <v>1.03</v>
      </c>
      <c r="AT19" s="91">
        <f t="shared" si="15"/>
        <v>2034</v>
      </c>
      <c r="AU19" s="105">
        <f t="shared" si="13"/>
        <v>1.5579674166007653</v>
      </c>
      <c r="AV19" s="272">
        <f t="shared" si="16"/>
        <v>1.03</v>
      </c>
      <c r="BC19" s="38">
        <v>2032</v>
      </c>
      <c r="BD19" s="163">
        <f t="shared" si="18"/>
        <v>1537000</v>
      </c>
    </row>
    <row r="20" spans="1:56" x14ac:dyDescent="0.25">
      <c r="A20" s="38"/>
      <c r="B20" s="1" t="s">
        <v>45</v>
      </c>
      <c r="C20" s="1">
        <v>32</v>
      </c>
      <c r="D20" s="1">
        <v>0</v>
      </c>
      <c r="E20" s="67">
        <f t="shared" si="0"/>
        <v>122029.77358384618</v>
      </c>
      <c r="F20" s="60" t="str">
        <f t="shared" si="1"/>
        <v>Tekn./Adm. 7</v>
      </c>
      <c r="H20" s="213">
        <v>17</v>
      </c>
      <c r="I20" s="220">
        <v>256600</v>
      </c>
      <c r="J20" s="220"/>
      <c r="K20" s="215">
        <v>256400</v>
      </c>
      <c r="L20" s="215">
        <f t="shared" si="2"/>
        <v>335701.24592307699</v>
      </c>
      <c r="M20" s="215">
        <f t="shared" si="4"/>
        <v>79301.245923076989</v>
      </c>
      <c r="N20" s="216">
        <f t="shared" si="3"/>
        <v>0.3092872305892238</v>
      </c>
      <c r="O20" s="217">
        <v>21366.699999999997</v>
      </c>
      <c r="P20" s="218"/>
      <c r="Q20" s="219">
        <v>712.30000000000007</v>
      </c>
      <c r="S20" s="38" t="s">
        <v>143</v>
      </c>
      <c r="T20" s="67">
        <v>963</v>
      </c>
      <c r="U20" s="18">
        <f t="shared" si="20"/>
        <v>90</v>
      </c>
      <c r="V20" s="18">
        <f t="shared" si="19"/>
        <v>1053</v>
      </c>
      <c r="W20" s="60" t="s">
        <v>525</v>
      </c>
      <c r="X20" s="144">
        <v>0.10348706411698538</v>
      </c>
      <c r="AB20" s="38">
        <v>33</v>
      </c>
      <c r="AC20" s="1" t="s">
        <v>132</v>
      </c>
      <c r="AD20" s="17">
        <f t="shared" si="10"/>
        <v>1.03</v>
      </c>
      <c r="AE20" s="1" t="s">
        <v>131</v>
      </c>
      <c r="AF20" s="208">
        <f t="shared" si="11"/>
        <v>0.27</v>
      </c>
      <c r="AP20" s="91">
        <f t="shared" si="14"/>
        <v>2035</v>
      </c>
      <c r="AQ20" s="105">
        <f t="shared" si="12"/>
        <v>1.6287770356852707</v>
      </c>
      <c r="AR20" s="272">
        <f t="shared" si="17"/>
        <v>1.03</v>
      </c>
      <c r="AT20" s="91">
        <f t="shared" si="15"/>
        <v>2035</v>
      </c>
      <c r="AU20" s="105">
        <f t="shared" si="13"/>
        <v>1.6047064390987884</v>
      </c>
      <c r="AV20" s="272">
        <f t="shared" si="16"/>
        <v>1.03</v>
      </c>
      <c r="BC20" s="38">
        <v>2033</v>
      </c>
      <c r="BD20" s="163">
        <f t="shared" si="18"/>
        <v>1572000</v>
      </c>
    </row>
    <row r="21" spans="1:56" x14ac:dyDescent="0.25">
      <c r="A21" s="38"/>
      <c r="B21" s="1" t="s">
        <v>18</v>
      </c>
      <c r="C21" s="1">
        <v>33</v>
      </c>
      <c r="D21" s="1">
        <v>0</v>
      </c>
      <c r="E21" s="67">
        <f t="shared" si="0"/>
        <v>123367.03436076926</v>
      </c>
      <c r="F21" s="60" t="str">
        <f t="shared" si="1"/>
        <v>Tekn./Adm. 7</v>
      </c>
      <c r="H21" s="213">
        <v>18</v>
      </c>
      <c r="I21" s="220">
        <v>260000</v>
      </c>
      <c r="J21" s="220"/>
      <c r="K21" s="215">
        <v>259800</v>
      </c>
      <c r="L21" s="215">
        <f t="shared" si="2"/>
        <v>340132.71438461542</v>
      </c>
      <c r="M21" s="215">
        <f t="shared" si="4"/>
        <v>80332.714384615421</v>
      </c>
      <c r="N21" s="216">
        <f t="shared" si="3"/>
        <v>0.30920983211938191</v>
      </c>
      <c r="O21" s="217">
        <v>21650</v>
      </c>
      <c r="P21" s="218"/>
      <c r="Q21" s="219">
        <v>721.7</v>
      </c>
      <c r="S21" s="38" t="s">
        <v>132</v>
      </c>
      <c r="T21" s="67">
        <v>269</v>
      </c>
      <c r="U21" s="18">
        <v>277</v>
      </c>
      <c r="V21" s="18">
        <f t="shared" si="19"/>
        <v>546</v>
      </c>
      <c r="W21" s="60" t="str">
        <f>W14</f>
        <v>&lt; 444'</v>
      </c>
      <c r="X21" s="144">
        <v>1.03</v>
      </c>
      <c r="AB21" s="38">
        <v>34</v>
      </c>
      <c r="AC21" s="1" t="s">
        <v>132</v>
      </c>
      <c r="AD21" s="17">
        <f t="shared" si="10"/>
        <v>1.03</v>
      </c>
      <c r="AE21" s="1" t="s">
        <v>131</v>
      </c>
      <c r="AF21" s="208">
        <f t="shared" si="11"/>
        <v>0.27</v>
      </c>
      <c r="AP21" s="91">
        <f t="shared" si="14"/>
        <v>2036</v>
      </c>
      <c r="AQ21" s="105">
        <f t="shared" si="12"/>
        <v>1.6776403467558287</v>
      </c>
      <c r="AR21" s="272">
        <f t="shared" si="17"/>
        <v>1.03</v>
      </c>
      <c r="AT21" s="91">
        <f t="shared" si="15"/>
        <v>2036</v>
      </c>
      <c r="AU21" s="105">
        <f t="shared" si="13"/>
        <v>1.652847632271752</v>
      </c>
      <c r="AV21" s="272">
        <f t="shared" si="16"/>
        <v>1.03</v>
      </c>
      <c r="BC21" s="38">
        <v>2034</v>
      </c>
      <c r="BD21" s="163">
        <f t="shared" si="18"/>
        <v>1607000</v>
      </c>
    </row>
    <row r="22" spans="1:56" x14ac:dyDescent="0.25">
      <c r="A22" s="38"/>
      <c r="B22" s="1" t="s">
        <v>22</v>
      </c>
      <c r="C22" s="1">
        <v>34</v>
      </c>
      <c r="D22" s="1">
        <v>0</v>
      </c>
      <c r="E22" s="67">
        <f t="shared" si="0"/>
        <v>124809.86835692309</v>
      </c>
      <c r="F22" s="60" t="str">
        <f t="shared" si="1"/>
        <v>Tekn./Adm. 7</v>
      </c>
      <c r="H22" s="83">
        <v>19</v>
      </c>
      <c r="I22">
        <v>296300</v>
      </c>
      <c r="J22" s="5"/>
      <c r="K22" s="6">
        <f>I22-400</f>
        <v>295900</v>
      </c>
      <c r="L22" s="4">
        <f t="shared" si="2"/>
        <v>387184.48246153852</v>
      </c>
      <c r="M22" s="4">
        <f t="shared" si="4"/>
        <v>91284.482461538515</v>
      </c>
      <c r="N22" s="22">
        <f t="shared" si="3"/>
        <v>0.30849774404034647</v>
      </c>
      <c r="O22" s="222"/>
      <c r="P22" s="8"/>
      <c r="Q22" s="223"/>
      <c r="R22" s="224"/>
      <c r="S22" s="38" t="s">
        <v>134</v>
      </c>
      <c r="T22" s="67">
        <v>394</v>
      </c>
      <c r="U22" s="18">
        <f>$U$21</f>
        <v>277</v>
      </c>
      <c r="V22" s="18">
        <f t="shared" si="19"/>
        <v>671</v>
      </c>
      <c r="W22" s="60" t="str">
        <f t="shared" ref="W22:W26" si="21">W15</f>
        <v>444'-507'</v>
      </c>
      <c r="X22" s="144">
        <v>0.71</v>
      </c>
      <c r="AB22" s="38">
        <v>35</v>
      </c>
      <c r="AC22" s="1" t="s">
        <v>132</v>
      </c>
      <c r="AD22" s="17">
        <f t="shared" si="10"/>
        <v>1.03</v>
      </c>
      <c r="AE22" s="1" t="s">
        <v>131</v>
      </c>
      <c r="AF22" s="208">
        <f t="shared" si="11"/>
        <v>0.27</v>
      </c>
      <c r="AP22" s="91">
        <f t="shared" si="14"/>
        <v>2037</v>
      </c>
      <c r="AQ22" s="105">
        <f t="shared" si="12"/>
        <v>1.7279695571585036</v>
      </c>
      <c r="AR22" s="272">
        <f t="shared" si="17"/>
        <v>1.03</v>
      </c>
      <c r="AT22" s="91">
        <f t="shared" si="15"/>
        <v>2037</v>
      </c>
      <c r="AU22" s="105">
        <f t="shared" si="13"/>
        <v>1.7024330612399046</v>
      </c>
      <c r="AV22" s="272">
        <f t="shared" si="16"/>
        <v>1.03</v>
      </c>
      <c r="BC22" s="38">
        <v>2035</v>
      </c>
      <c r="BD22" s="163">
        <f t="shared" si="18"/>
        <v>1642000</v>
      </c>
    </row>
    <row r="23" spans="1:56" x14ac:dyDescent="0.25">
      <c r="A23" s="38"/>
      <c r="B23" s="1" t="s">
        <v>13</v>
      </c>
      <c r="C23" s="1">
        <v>36</v>
      </c>
      <c r="D23" s="1">
        <v>0</v>
      </c>
      <c r="E23" s="67">
        <f t="shared" si="0"/>
        <v>127730.7274223077</v>
      </c>
      <c r="F23" s="60" t="str">
        <f t="shared" si="1"/>
        <v>Tekn./Adm. 7</v>
      </c>
      <c r="H23" s="83">
        <v>20</v>
      </c>
      <c r="I23">
        <v>299800</v>
      </c>
      <c r="J23" s="5"/>
      <c r="K23" s="6">
        <f t="shared" ref="K23:K86" si="22">I23-400</f>
        <v>299400</v>
      </c>
      <c r="L23" s="4">
        <f t="shared" si="2"/>
        <v>391746.28823076922</v>
      </c>
      <c r="M23" s="4">
        <f t="shared" si="4"/>
        <v>92346.28823076922</v>
      </c>
      <c r="N23" s="22">
        <f t="shared" si="3"/>
        <v>0.30843783644211498</v>
      </c>
      <c r="O23" s="222"/>
      <c r="P23" s="8"/>
      <c r="Q23" s="223"/>
      <c r="R23" s="224"/>
      <c r="S23" s="38" t="s">
        <v>136</v>
      </c>
      <c r="T23" s="67">
        <v>448</v>
      </c>
      <c r="U23" s="18">
        <f t="shared" ref="U23:U27" si="23">$U$21</f>
        <v>277</v>
      </c>
      <c r="V23" s="18">
        <f t="shared" si="19"/>
        <v>725</v>
      </c>
      <c r="W23" s="60" t="str">
        <f t="shared" si="21"/>
        <v>507'-573'</v>
      </c>
      <c r="X23" s="144">
        <v>0.62</v>
      </c>
      <c r="AB23" s="38">
        <v>36</v>
      </c>
      <c r="AC23" s="1" t="s">
        <v>132</v>
      </c>
      <c r="AD23" s="17">
        <f t="shared" si="10"/>
        <v>1.03</v>
      </c>
      <c r="AE23" s="1" t="s">
        <v>131</v>
      </c>
      <c r="AF23" s="208">
        <f t="shared" si="11"/>
        <v>0.27</v>
      </c>
      <c r="AP23" s="91">
        <f t="shared" si="14"/>
        <v>2038</v>
      </c>
      <c r="AQ23" s="105">
        <f t="shared" si="12"/>
        <v>1.7798086438732588</v>
      </c>
      <c r="AR23" s="272">
        <f t="shared" si="17"/>
        <v>1.03</v>
      </c>
      <c r="AT23" s="91">
        <f t="shared" si="15"/>
        <v>2038</v>
      </c>
      <c r="AU23" s="105">
        <f t="shared" si="13"/>
        <v>1.7535060530771018</v>
      </c>
      <c r="AV23" s="272">
        <f t="shared" si="16"/>
        <v>1.03</v>
      </c>
      <c r="BC23" s="38">
        <v>2036</v>
      </c>
      <c r="BD23" s="163">
        <f t="shared" si="18"/>
        <v>1677000</v>
      </c>
    </row>
    <row r="24" spans="1:56" x14ac:dyDescent="0.25">
      <c r="A24" s="38"/>
      <c r="B24" s="1" t="s">
        <v>14</v>
      </c>
      <c r="C24" s="1">
        <v>36</v>
      </c>
      <c r="D24" s="1">
        <v>0</v>
      </c>
      <c r="E24" s="67">
        <f t="shared" si="0"/>
        <v>127730.7274223077</v>
      </c>
      <c r="F24" s="60" t="str">
        <f t="shared" si="1"/>
        <v>Tekn./Adm. 7</v>
      </c>
      <c r="H24" s="83">
        <v>21</v>
      </c>
      <c r="I24">
        <v>303500</v>
      </c>
      <c r="J24" s="5"/>
      <c r="K24" s="6">
        <f t="shared" si="22"/>
        <v>303100</v>
      </c>
      <c r="L24" s="4">
        <f t="shared" si="2"/>
        <v>396568.76861538464</v>
      </c>
      <c r="M24" s="4">
        <f t="shared" si="4"/>
        <v>93468.768615384644</v>
      </c>
      <c r="N24" s="22">
        <f t="shared" si="3"/>
        <v>0.30837600994848119</v>
      </c>
      <c r="O24" s="222"/>
      <c r="P24" s="8"/>
      <c r="Q24" s="223"/>
      <c r="R24" s="224"/>
      <c r="S24" s="38" t="s">
        <v>138</v>
      </c>
      <c r="T24" s="67">
        <v>504</v>
      </c>
      <c r="U24" s="18">
        <f t="shared" si="23"/>
        <v>277</v>
      </c>
      <c r="V24" s="18">
        <f t="shared" si="19"/>
        <v>781</v>
      </c>
      <c r="W24" s="60" t="str">
        <f t="shared" si="21"/>
        <v>573'-648'</v>
      </c>
      <c r="X24" s="144">
        <v>0.55000000000000004</v>
      </c>
      <c r="AB24" s="38">
        <v>37</v>
      </c>
      <c r="AC24" s="1" t="s">
        <v>132</v>
      </c>
      <c r="AD24" s="17">
        <f t="shared" si="10"/>
        <v>1.03</v>
      </c>
      <c r="AE24" s="1" t="s">
        <v>131</v>
      </c>
      <c r="AF24" s="208">
        <f t="shared" si="11"/>
        <v>0.27</v>
      </c>
      <c r="AP24" s="91">
        <f t="shared" si="14"/>
        <v>2039</v>
      </c>
      <c r="AQ24" s="105">
        <f t="shared" si="12"/>
        <v>1.8332029031894566</v>
      </c>
      <c r="AR24" s="272">
        <f t="shared" si="17"/>
        <v>1.03</v>
      </c>
      <c r="AT24" s="91">
        <f t="shared" si="15"/>
        <v>2039</v>
      </c>
      <c r="AU24" s="105">
        <f t="shared" si="13"/>
        <v>1.806111234669415</v>
      </c>
      <c r="AV24" s="272">
        <f t="shared" si="16"/>
        <v>1.03</v>
      </c>
      <c r="BC24" s="38">
        <v>2037</v>
      </c>
      <c r="BD24" s="163">
        <f t="shared" si="18"/>
        <v>1712000</v>
      </c>
    </row>
    <row r="25" spans="1:56" x14ac:dyDescent="0.25">
      <c r="A25" s="38"/>
      <c r="B25" s="1" t="s">
        <v>25</v>
      </c>
      <c r="C25" s="1">
        <v>37</v>
      </c>
      <c r="D25" s="1">
        <v>0</v>
      </c>
      <c r="E25" s="67">
        <f t="shared" si="0"/>
        <v>129349.51678384618</v>
      </c>
      <c r="F25" s="60" t="str">
        <f t="shared" si="1"/>
        <v>Tekn./Adm. 7</v>
      </c>
      <c r="H25" s="83">
        <v>22</v>
      </c>
      <c r="I25">
        <v>307100</v>
      </c>
      <c r="J25" s="5"/>
      <c r="K25" s="6">
        <f t="shared" si="22"/>
        <v>306700</v>
      </c>
      <c r="L25" s="4">
        <f t="shared" si="2"/>
        <v>401260.91169230774</v>
      </c>
      <c r="M25" s="4">
        <f t="shared" si="4"/>
        <v>94560.911692307738</v>
      </c>
      <c r="N25" s="22">
        <f t="shared" si="3"/>
        <v>0.30831728624815041</v>
      </c>
      <c r="O25" s="222"/>
      <c r="P25" s="8"/>
      <c r="Q25" s="223"/>
      <c r="R25" s="224"/>
      <c r="S25" s="38" t="s">
        <v>140</v>
      </c>
      <c r="T25" s="67">
        <v>580</v>
      </c>
      <c r="U25" s="18">
        <f t="shared" si="23"/>
        <v>277</v>
      </c>
      <c r="V25" s="18">
        <f t="shared" si="19"/>
        <v>857</v>
      </c>
      <c r="W25" s="60" t="str">
        <f t="shared" si="21"/>
        <v>648'-765'</v>
      </c>
      <c r="X25" s="144">
        <v>0.48</v>
      </c>
      <c r="AB25" s="38">
        <v>38</v>
      </c>
      <c r="AC25" s="1" t="s">
        <v>132</v>
      </c>
      <c r="AD25" s="17">
        <f t="shared" si="10"/>
        <v>1.03</v>
      </c>
      <c r="AE25" s="1" t="s">
        <v>131</v>
      </c>
      <c r="AF25" s="208">
        <f t="shared" si="11"/>
        <v>0.27</v>
      </c>
      <c r="AP25" s="91">
        <f t="shared" si="14"/>
        <v>2040</v>
      </c>
      <c r="AQ25" s="105">
        <f t="shared" si="12"/>
        <v>1.8881989902851404</v>
      </c>
      <c r="AR25" s="272">
        <f t="shared" si="17"/>
        <v>1.03</v>
      </c>
      <c r="AT25" s="91">
        <f t="shared" si="15"/>
        <v>2040</v>
      </c>
      <c r="AU25" s="105">
        <f t="shared" si="13"/>
        <v>1.8602945717094976</v>
      </c>
      <c r="AV25" s="272">
        <f t="shared" si="16"/>
        <v>1.03</v>
      </c>
      <c r="BC25" s="38">
        <v>2038</v>
      </c>
      <c r="BD25" s="163">
        <f t="shared" si="18"/>
        <v>1747000</v>
      </c>
    </row>
    <row r="26" spans="1:56" x14ac:dyDescent="0.25">
      <c r="A26" s="38"/>
      <c r="B26" s="1" t="s">
        <v>15</v>
      </c>
      <c r="C26" s="1">
        <v>38</v>
      </c>
      <c r="D26" s="1">
        <v>0</v>
      </c>
      <c r="E26" s="67">
        <f t="shared" si="0"/>
        <v>131003.49721846155</v>
      </c>
      <c r="F26" s="60" t="str">
        <f t="shared" si="1"/>
        <v>Tekn./Adm. 7</v>
      </c>
      <c r="H26" s="83">
        <v>23</v>
      </c>
      <c r="I26">
        <v>310900</v>
      </c>
      <c r="J26" s="5"/>
      <c r="K26" s="6">
        <f t="shared" si="22"/>
        <v>310500</v>
      </c>
      <c r="L26" s="4">
        <f t="shared" si="2"/>
        <v>406213.72938461544</v>
      </c>
      <c r="M26" s="4">
        <f t="shared" si="4"/>
        <v>95713.729384615435</v>
      </c>
      <c r="N26" s="22">
        <f t="shared" si="3"/>
        <v>0.30825677740616886</v>
      </c>
      <c r="O26" s="222"/>
      <c r="P26" s="8"/>
      <c r="Q26" s="223"/>
      <c r="R26" s="224"/>
      <c r="S26" s="38" t="s">
        <v>141</v>
      </c>
      <c r="T26" s="67">
        <v>697</v>
      </c>
      <c r="U26" s="18">
        <f t="shared" si="23"/>
        <v>277</v>
      </c>
      <c r="V26" s="18">
        <f t="shared" si="19"/>
        <v>974</v>
      </c>
      <c r="W26" s="60" t="str">
        <f t="shared" si="21"/>
        <v>765'-1.014'</v>
      </c>
      <c r="X26" s="144">
        <v>0.40435458786936235</v>
      </c>
      <c r="AB26" s="38">
        <v>39</v>
      </c>
      <c r="AC26" s="1" t="s">
        <v>132</v>
      </c>
      <c r="AD26" s="17">
        <f t="shared" si="10"/>
        <v>1.03</v>
      </c>
      <c r="AE26" s="1" t="s">
        <v>131</v>
      </c>
      <c r="AF26" s="208">
        <f t="shared" si="11"/>
        <v>0.27</v>
      </c>
      <c r="AP26" s="91">
        <f t="shared" si="14"/>
        <v>2041</v>
      </c>
      <c r="AQ26" s="105">
        <f t="shared" si="12"/>
        <v>1.9448449599936946</v>
      </c>
      <c r="AR26" s="272">
        <f t="shared" si="17"/>
        <v>1.03</v>
      </c>
      <c r="AT26" s="91">
        <f t="shared" si="15"/>
        <v>2041</v>
      </c>
      <c r="AU26" s="105">
        <f t="shared" si="13"/>
        <v>1.9161034088607827</v>
      </c>
      <c r="AV26" s="272">
        <f t="shared" si="16"/>
        <v>1.03</v>
      </c>
      <c r="BC26" s="38">
        <v>2039</v>
      </c>
      <c r="BD26" s="163">
        <f t="shared" si="18"/>
        <v>1782000</v>
      </c>
    </row>
    <row r="27" spans="1:56" ht="15.75" thickBot="1" x14ac:dyDescent="0.3">
      <c r="A27" s="38"/>
      <c r="B27" s="1" t="s">
        <v>8</v>
      </c>
      <c r="C27" s="1">
        <v>39</v>
      </c>
      <c r="D27" s="1">
        <v>0</v>
      </c>
      <c r="E27" s="67">
        <f t="shared" si="0"/>
        <v>132622.28658000004</v>
      </c>
      <c r="F27" s="60" t="str">
        <f t="shared" si="1"/>
        <v>Tekn./Adm. 7</v>
      </c>
      <c r="H27" s="83">
        <v>24</v>
      </c>
      <c r="I27">
        <v>314800</v>
      </c>
      <c r="J27" s="5"/>
      <c r="K27" s="6">
        <f t="shared" si="22"/>
        <v>314400</v>
      </c>
      <c r="L27" s="4">
        <f t="shared" si="2"/>
        <v>411296.8843846154</v>
      </c>
      <c r="M27" s="4">
        <f t="shared" si="4"/>
        <v>96896.884384615405</v>
      </c>
      <c r="N27" s="22">
        <f t="shared" si="3"/>
        <v>0.30819619715208463</v>
      </c>
      <c r="O27" s="222"/>
      <c r="P27" s="8"/>
      <c r="Q27" s="223"/>
      <c r="R27" s="224"/>
      <c r="S27" s="61" t="s">
        <v>144</v>
      </c>
      <c r="T27" s="68">
        <v>937</v>
      </c>
      <c r="U27" s="68">
        <f t="shared" si="23"/>
        <v>277</v>
      </c>
      <c r="V27" s="68">
        <f t="shared" si="19"/>
        <v>1214</v>
      </c>
      <c r="W27" s="69" t="str">
        <f>W20</f>
        <v>&gt;1.014'</v>
      </c>
      <c r="X27" s="228">
        <v>0.30127462340672073</v>
      </c>
      <c r="AB27" s="38">
        <v>40</v>
      </c>
      <c r="AC27" s="1" t="s">
        <v>132</v>
      </c>
      <c r="AD27" s="17">
        <f t="shared" si="10"/>
        <v>1.03</v>
      </c>
      <c r="AE27" s="1" t="s">
        <v>131</v>
      </c>
      <c r="AF27" s="208">
        <f t="shared" si="11"/>
        <v>0.27</v>
      </c>
      <c r="AP27" s="91">
        <f t="shared" si="14"/>
        <v>2042</v>
      </c>
      <c r="AQ27" s="105">
        <f t="shared" si="12"/>
        <v>2.0031903087935055</v>
      </c>
      <c r="AR27" s="272">
        <f t="shared" si="17"/>
        <v>1.03</v>
      </c>
      <c r="AT27" s="91">
        <f t="shared" si="15"/>
        <v>2042</v>
      </c>
      <c r="AU27" s="105">
        <f t="shared" si="13"/>
        <v>1.9735865111266062</v>
      </c>
      <c r="AV27" s="272">
        <f t="shared" si="16"/>
        <v>1.03</v>
      </c>
      <c r="BC27" s="38">
        <v>2040</v>
      </c>
      <c r="BD27" s="163">
        <f t="shared" si="18"/>
        <v>1817000</v>
      </c>
    </row>
    <row r="28" spans="1:56" x14ac:dyDescent="0.25">
      <c r="A28" s="38"/>
      <c r="B28" s="1" t="s">
        <v>55</v>
      </c>
      <c r="C28" s="1">
        <v>40</v>
      </c>
      <c r="D28" s="1">
        <v>0</v>
      </c>
      <c r="E28" s="67">
        <f t="shared" si="0"/>
        <v>134381.84023384616</v>
      </c>
      <c r="F28" s="60" t="str">
        <f t="shared" si="1"/>
        <v>Tekn./Adm. 7</v>
      </c>
      <c r="H28" s="83">
        <v>25</v>
      </c>
      <c r="I28">
        <v>318900</v>
      </c>
      <c r="J28" s="5"/>
      <c r="K28" s="6">
        <f t="shared" si="22"/>
        <v>318500</v>
      </c>
      <c r="L28" s="4">
        <f t="shared" si="2"/>
        <v>416640.71400000009</v>
      </c>
      <c r="M28" s="4">
        <f t="shared" si="4"/>
        <v>98140.714000000095</v>
      </c>
      <c r="N28" s="22">
        <f t="shared" si="3"/>
        <v>0.3081341098901102</v>
      </c>
      <c r="O28" s="222"/>
      <c r="P28" s="8"/>
      <c r="Q28" s="223"/>
      <c r="R28" s="224"/>
      <c r="AB28" s="38">
        <v>41</v>
      </c>
      <c r="AC28" s="1" t="s">
        <v>132</v>
      </c>
      <c r="AD28" s="17">
        <f t="shared" si="10"/>
        <v>1.03</v>
      </c>
      <c r="AE28" s="1" t="s">
        <v>131</v>
      </c>
      <c r="AF28" s="208">
        <f t="shared" si="11"/>
        <v>0.27</v>
      </c>
      <c r="AP28" s="91">
        <f t="shared" si="14"/>
        <v>2043</v>
      </c>
      <c r="AQ28" s="105">
        <f t="shared" si="12"/>
        <v>2.0632860180573105</v>
      </c>
      <c r="AR28" s="272">
        <f t="shared" si="17"/>
        <v>1.03</v>
      </c>
      <c r="AT28" s="91">
        <f t="shared" si="15"/>
        <v>2043</v>
      </c>
      <c r="AU28" s="105">
        <f t="shared" si="13"/>
        <v>2.0327941064604045</v>
      </c>
      <c r="AV28" s="272">
        <f t="shared" si="16"/>
        <v>1.03</v>
      </c>
      <c r="BC28" s="38">
        <v>2041</v>
      </c>
      <c r="BD28" s="163">
        <f t="shared" si="18"/>
        <v>1852000</v>
      </c>
    </row>
    <row r="29" spans="1:56" x14ac:dyDescent="0.25">
      <c r="A29" s="38"/>
      <c r="B29" s="1" t="s">
        <v>46</v>
      </c>
      <c r="C29" s="1">
        <v>42</v>
      </c>
      <c r="D29" s="1">
        <v>0</v>
      </c>
      <c r="E29" s="67">
        <f t="shared" si="0"/>
        <v>138147.28505307695</v>
      </c>
      <c r="F29" s="60" t="str">
        <f t="shared" si="1"/>
        <v>Tekn./Adm. 7</v>
      </c>
      <c r="H29" s="83">
        <v>26</v>
      </c>
      <c r="I29">
        <v>323000</v>
      </c>
      <c r="J29" s="5"/>
      <c r="K29" s="6">
        <f t="shared" si="22"/>
        <v>322600</v>
      </c>
      <c r="L29" s="4">
        <f t="shared" si="2"/>
        <v>421984.54361538467</v>
      </c>
      <c r="M29" s="4">
        <f t="shared" si="4"/>
        <v>99384.543615384668</v>
      </c>
      <c r="N29" s="22">
        <f t="shared" si="3"/>
        <v>0.30807360079164497</v>
      </c>
      <c r="O29" s="222"/>
      <c r="P29" s="8"/>
      <c r="Q29" s="223"/>
      <c r="R29" s="224"/>
      <c r="AB29" s="38">
        <v>42</v>
      </c>
      <c r="AC29" s="1" t="s">
        <v>132</v>
      </c>
      <c r="AD29" s="17">
        <f t="shared" si="10"/>
        <v>1.03</v>
      </c>
      <c r="AE29" s="1" t="s">
        <v>131</v>
      </c>
      <c r="AF29" s="208">
        <f t="shared" si="11"/>
        <v>0.27</v>
      </c>
      <c r="AP29" s="91">
        <f t="shared" si="14"/>
        <v>2044</v>
      </c>
      <c r="AQ29" s="105">
        <f t="shared" si="12"/>
        <v>2.1251845985990299</v>
      </c>
      <c r="AR29" s="272">
        <f t="shared" si="17"/>
        <v>1.03</v>
      </c>
      <c r="AT29" s="91">
        <f t="shared" si="15"/>
        <v>2044</v>
      </c>
      <c r="AU29" s="105">
        <f t="shared" si="13"/>
        <v>2.0937779296542165</v>
      </c>
      <c r="AV29" s="272">
        <f t="shared" si="16"/>
        <v>1.03</v>
      </c>
      <c r="BC29" s="38">
        <v>2042</v>
      </c>
      <c r="BD29" s="163">
        <f t="shared" si="18"/>
        <v>1887000</v>
      </c>
    </row>
    <row r="30" spans="1:56" x14ac:dyDescent="0.25">
      <c r="A30" s="38"/>
      <c r="B30" s="1" t="s">
        <v>58</v>
      </c>
      <c r="C30" s="1">
        <v>42</v>
      </c>
      <c r="D30" s="1">
        <v>0</v>
      </c>
      <c r="E30" s="67">
        <f t="shared" si="0"/>
        <v>138147.28505307695</v>
      </c>
      <c r="F30" s="60" t="str">
        <f t="shared" si="1"/>
        <v>Tekn./Adm. 7</v>
      </c>
      <c r="H30" s="83">
        <v>27</v>
      </c>
      <c r="I30">
        <v>326900</v>
      </c>
      <c r="J30" s="5"/>
      <c r="K30" s="6">
        <f t="shared" si="22"/>
        <v>326500</v>
      </c>
      <c r="L30" s="4">
        <f t="shared" si="2"/>
        <v>427067.6986153847</v>
      </c>
      <c r="M30" s="4">
        <f t="shared" si="4"/>
        <v>100567.6986153847</v>
      </c>
      <c r="N30" s="22">
        <f t="shared" si="3"/>
        <v>0.30801745364589495</v>
      </c>
      <c r="O30" s="222"/>
      <c r="P30" s="8"/>
      <c r="Q30" s="223"/>
      <c r="R30" s="224"/>
      <c r="AB30" s="38">
        <v>43</v>
      </c>
      <c r="AC30" s="1" t="s">
        <v>132</v>
      </c>
      <c r="AD30" s="17">
        <f t="shared" si="10"/>
        <v>1.03</v>
      </c>
      <c r="AE30" s="1" t="s">
        <v>131</v>
      </c>
      <c r="AF30" s="208">
        <f t="shared" si="11"/>
        <v>0.27</v>
      </c>
      <c r="AP30" s="91">
        <f t="shared" si="14"/>
        <v>2045</v>
      </c>
      <c r="AQ30" s="105">
        <f t="shared" si="12"/>
        <v>2.1889401365570009</v>
      </c>
      <c r="AR30" s="272">
        <f t="shared" si="17"/>
        <v>1.03</v>
      </c>
      <c r="AT30" s="91">
        <f t="shared" si="15"/>
        <v>2045</v>
      </c>
      <c r="AU30" s="105">
        <f t="shared" si="13"/>
        <v>2.1565912675438432</v>
      </c>
      <c r="AV30" s="272">
        <f t="shared" si="16"/>
        <v>1.03</v>
      </c>
      <c r="BC30" s="38">
        <v>2043</v>
      </c>
      <c r="BD30" s="163">
        <f t="shared" si="18"/>
        <v>1922000</v>
      </c>
    </row>
    <row r="31" spans="1:56" x14ac:dyDescent="0.25">
      <c r="A31" s="38"/>
      <c r="B31" s="1" t="s">
        <v>12</v>
      </c>
      <c r="C31" s="1">
        <v>46</v>
      </c>
      <c r="D31" s="1">
        <v>0</v>
      </c>
      <c r="E31" s="67">
        <f t="shared" si="0"/>
        <v>146346.80508000002</v>
      </c>
      <c r="F31" s="60" t="str">
        <f t="shared" si="1"/>
        <v>Tekn./Adm. 7</v>
      </c>
      <c r="H31" s="83">
        <v>28</v>
      </c>
      <c r="I31">
        <v>330800</v>
      </c>
      <c r="J31" s="5"/>
      <c r="K31" s="6">
        <f t="shared" si="22"/>
        <v>330400</v>
      </c>
      <c r="L31" s="4">
        <f t="shared" si="2"/>
        <v>432150.85361538472</v>
      </c>
      <c r="M31" s="4">
        <f t="shared" si="4"/>
        <v>101750.85361538472</v>
      </c>
      <c r="N31" s="22">
        <f t="shared" si="3"/>
        <v>0.30796263200782303</v>
      </c>
      <c r="O31" s="222"/>
      <c r="P31" s="8"/>
      <c r="Q31" s="223"/>
      <c r="R31" s="224"/>
      <c r="AB31" s="38">
        <v>44</v>
      </c>
      <c r="AC31" s="1" t="s">
        <v>132</v>
      </c>
      <c r="AD31" s="17">
        <f t="shared" si="10"/>
        <v>1.03</v>
      </c>
      <c r="AE31" s="1" t="s">
        <v>131</v>
      </c>
      <c r="AF31" s="208">
        <f t="shared" si="11"/>
        <v>0.27</v>
      </c>
      <c r="AP31" s="91">
        <f t="shared" si="14"/>
        <v>2046</v>
      </c>
      <c r="AQ31" s="105">
        <f t="shared" si="12"/>
        <v>2.2546083406537112</v>
      </c>
      <c r="AR31" s="272">
        <f t="shared" si="17"/>
        <v>1.03</v>
      </c>
      <c r="AT31" s="91">
        <f t="shared" si="15"/>
        <v>2046</v>
      </c>
      <c r="AU31" s="105">
        <f t="shared" si="13"/>
        <v>2.2212890055701586</v>
      </c>
      <c r="AV31" s="272">
        <f t="shared" si="16"/>
        <v>1.03</v>
      </c>
      <c r="BC31" s="38">
        <v>2044</v>
      </c>
      <c r="BD31" s="163">
        <f t="shared" si="18"/>
        <v>1957000</v>
      </c>
    </row>
    <row r="32" spans="1:56" ht="15.75" thickBot="1" x14ac:dyDescent="0.3">
      <c r="A32" s="38"/>
      <c r="B32" s="1" t="s">
        <v>33</v>
      </c>
      <c r="C32" s="1">
        <v>46</v>
      </c>
      <c r="D32" s="1">
        <v>0</v>
      </c>
      <c r="E32" s="67">
        <f t="shared" si="0"/>
        <v>146346.80508000002</v>
      </c>
      <c r="F32" s="60" t="str">
        <f t="shared" si="1"/>
        <v>Tekn./Adm. 7</v>
      </c>
      <c r="H32" s="83">
        <v>29</v>
      </c>
      <c r="I32">
        <v>334500</v>
      </c>
      <c r="J32" s="5"/>
      <c r="K32" s="6">
        <f t="shared" si="22"/>
        <v>334100</v>
      </c>
      <c r="L32" s="4">
        <f t="shared" si="2"/>
        <v>436973.33400000009</v>
      </c>
      <c r="M32" s="4">
        <f t="shared" si="4"/>
        <v>102873.33400000009</v>
      </c>
      <c r="N32" s="22">
        <f t="shared" si="3"/>
        <v>0.30791180484884789</v>
      </c>
      <c r="O32" s="222"/>
      <c r="P32" s="8"/>
      <c r="Q32" s="223"/>
      <c r="R32" s="224"/>
      <c r="AB32" s="38">
        <v>45</v>
      </c>
      <c r="AC32" s="1" t="s">
        <v>132</v>
      </c>
      <c r="AD32" s="17">
        <f t="shared" si="10"/>
        <v>1.03</v>
      </c>
      <c r="AE32" s="1" t="s">
        <v>131</v>
      </c>
      <c r="AF32" s="208">
        <f t="shared" si="11"/>
        <v>0.27</v>
      </c>
      <c r="AP32" s="91">
        <f t="shared" si="14"/>
        <v>2047</v>
      </c>
      <c r="AQ32" s="105">
        <f t="shared" si="12"/>
        <v>2.3222465908733225</v>
      </c>
      <c r="AR32" s="272">
        <f t="shared" si="17"/>
        <v>1.03</v>
      </c>
      <c r="AT32" s="91">
        <f t="shared" si="15"/>
        <v>2047</v>
      </c>
      <c r="AU32" s="105">
        <f t="shared" si="13"/>
        <v>2.2879276757372633</v>
      </c>
      <c r="AV32" s="272">
        <f t="shared" si="16"/>
        <v>1.03</v>
      </c>
      <c r="BC32" s="61">
        <v>2045</v>
      </c>
      <c r="BD32" s="171">
        <f t="shared" si="18"/>
        <v>1992000</v>
      </c>
    </row>
    <row r="33" spans="1:48" ht="15.75" thickBot="1" x14ac:dyDescent="0.3">
      <c r="A33" s="38"/>
      <c r="B33" s="1" t="s">
        <v>23</v>
      </c>
      <c r="C33" s="1">
        <v>51</v>
      </c>
      <c r="D33" s="1">
        <v>0</v>
      </c>
      <c r="E33" s="67">
        <f t="shared" si="0"/>
        <v>134948.10712384619</v>
      </c>
      <c r="F33" s="60" t="str">
        <f t="shared" si="1"/>
        <v>Tekn./Adm. 6</v>
      </c>
      <c r="H33" s="83">
        <v>30</v>
      </c>
      <c r="I33">
        <v>338400</v>
      </c>
      <c r="J33" s="5"/>
      <c r="K33" s="6">
        <f t="shared" si="22"/>
        <v>338000</v>
      </c>
      <c r="L33" s="4">
        <f t="shared" si="2"/>
        <v>442056.48900000006</v>
      </c>
      <c r="M33" s="4">
        <f t="shared" si="4"/>
        <v>104056.48900000006</v>
      </c>
      <c r="N33" s="22">
        <f t="shared" si="3"/>
        <v>0.30785943491124279</v>
      </c>
      <c r="O33" s="222"/>
      <c r="P33" s="8"/>
      <c r="Q33" s="223"/>
      <c r="R33" s="224"/>
      <c r="S33" s="1"/>
      <c r="AB33" s="38">
        <v>46</v>
      </c>
      <c r="AC33" s="1" t="s">
        <v>132</v>
      </c>
      <c r="AD33" s="17">
        <f t="shared" si="10"/>
        <v>1.03</v>
      </c>
      <c r="AE33" s="1" t="s">
        <v>131</v>
      </c>
      <c r="AF33" s="208">
        <f t="shared" si="11"/>
        <v>0.27</v>
      </c>
      <c r="AP33" s="96">
        <f t="shared" si="14"/>
        <v>2048</v>
      </c>
      <c r="AQ33" s="106">
        <f t="shared" si="12"/>
        <v>2.3919139885995224</v>
      </c>
      <c r="AR33" s="273">
        <f t="shared" si="17"/>
        <v>1.03</v>
      </c>
      <c r="AT33" s="96">
        <f t="shared" si="15"/>
        <v>2048</v>
      </c>
      <c r="AU33" s="106">
        <f t="shared" si="13"/>
        <v>2.3565655060093813</v>
      </c>
      <c r="AV33" s="272">
        <f t="shared" si="16"/>
        <v>1.03</v>
      </c>
    </row>
    <row r="34" spans="1:48" x14ac:dyDescent="0.25">
      <c r="A34" s="38"/>
      <c r="B34" s="1" t="s">
        <v>56</v>
      </c>
      <c r="C34" s="1">
        <v>53</v>
      </c>
      <c r="D34" s="1">
        <v>0</v>
      </c>
      <c r="E34" s="67">
        <f t="shared" si="0"/>
        <v>139564.6545623077</v>
      </c>
      <c r="F34" s="60" t="str">
        <f t="shared" si="1"/>
        <v>Tekn./Adm. 6</v>
      </c>
      <c r="H34" s="83">
        <v>31</v>
      </c>
      <c r="I34">
        <v>342000</v>
      </c>
      <c r="J34" s="5"/>
      <c r="K34" s="6">
        <f t="shared" si="22"/>
        <v>341600</v>
      </c>
      <c r="L34" s="4">
        <f t="shared" si="2"/>
        <v>446748.63207692315</v>
      </c>
      <c r="M34" s="4">
        <f t="shared" si="4"/>
        <v>105148.63207692315</v>
      </c>
      <c r="N34" s="22">
        <f t="shared" si="3"/>
        <v>0.30781215479192958</v>
      </c>
      <c r="O34" s="222"/>
      <c r="P34" s="8"/>
      <c r="Q34" s="223"/>
      <c r="R34" s="224"/>
      <c r="S34" s="1"/>
      <c r="AB34" s="38">
        <v>47</v>
      </c>
      <c r="AC34" s="1" t="s">
        <v>132</v>
      </c>
      <c r="AD34" s="17">
        <f t="shared" si="10"/>
        <v>1.03</v>
      </c>
      <c r="AE34" s="1" t="s">
        <v>131</v>
      </c>
      <c r="AF34" s="208">
        <f t="shared" si="11"/>
        <v>0.27</v>
      </c>
    </row>
    <row r="35" spans="1:48" x14ac:dyDescent="0.25">
      <c r="A35" s="38"/>
      <c r="B35" s="1" t="s">
        <v>52</v>
      </c>
      <c r="C35" s="1">
        <v>56</v>
      </c>
      <c r="D35" s="1">
        <v>0</v>
      </c>
      <c r="E35" s="67">
        <f t="shared" ref="E35:E66" si="24">VLOOKUP(F35,$S$13:$X$27,6,FALSE)*VLOOKUP(C35,H:Q,5,FALSE)</f>
        <v>133915.48544769234</v>
      </c>
      <c r="F35" s="60" t="str">
        <f t="shared" si="1"/>
        <v>Tekn./Adm. 5</v>
      </c>
      <c r="H35" s="83">
        <v>32</v>
      </c>
      <c r="I35">
        <v>346000</v>
      </c>
      <c r="J35" s="5"/>
      <c r="K35" s="6">
        <f t="shared" si="22"/>
        <v>345600</v>
      </c>
      <c r="L35" s="4">
        <f t="shared" si="2"/>
        <v>451962.12438461545</v>
      </c>
      <c r="M35" s="4">
        <f t="shared" si="4"/>
        <v>106362.12438461545</v>
      </c>
      <c r="N35" s="22">
        <f t="shared" si="3"/>
        <v>0.30776077657585488</v>
      </c>
      <c r="O35" s="222"/>
      <c r="P35" s="8"/>
      <c r="Q35" s="223"/>
      <c r="R35" s="224"/>
      <c r="S35" s="1"/>
      <c r="AB35" s="38">
        <v>48</v>
      </c>
      <c r="AC35" s="1" t="s">
        <v>134</v>
      </c>
      <c r="AD35" s="17">
        <f t="shared" si="10"/>
        <v>0.71</v>
      </c>
      <c r="AE35" s="1" t="s">
        <v>133</v>
      </c>
      <c r="AF35" s="208">
        <f t="shared" si="11"/>
        <v>0.23</v>
      </c>
    </row>
    <row r="36" spans="1:48" x14ac:dyDescent="0.25">
      <c r="A36" s="38"/>
      <c r="B36" s="1" t="s">
        <v>27</v>
      </c>
      <c r="C36" s="1">
        <v>57</v>
      </c>
      <c r="D36" s="1">
        <v>0</v>
      </c>
      <c r="E36" s="67">
        <f t="shared" si="24"/>
        <v>136242.00639</v>
      </c>
      <c r="F36" s="60" t="str">
        <f t="shared" si="1"/>
        <v>Tekn./Adm. 5</v>
      </c>
      <c r="H36" s="83">
        <v>33</v>
      </c>
      <c r="I36">
        <v>349800</v>
      </c>
      <c r="J36" s="5"/>
      <c r="K36" s="6">
        <f t="shared" si="22"/>
        <v>349400</v>
      </c>
      <c r="L36" s="4">
        <f t="shared" si="2"/>
        <v>456914.94207692315</v>
      </c>
      <c r="M36" s="4">
        <f t="shared" si="4"/>
        <v>107514.94207692315</v>
      </c>
      <c r="N36" s="22">
        <f t="shared" si="3"/>
        <v>0.30771305688873252</v>
      </c>
      <c r="O36" s="222"/>
      <c r="P36" s="8"/>
      <c r="Q36" s="223"/>
      <c r="R36" s="224"/>
      <c r="S36" s="1"/>
      <c r="AB36" s="38">
        <v>49</v>
      </c>
      <c r="AC36" s="1" t="s">
        <v>134</v>
      </c>
      <c r="AD36" s="17">
        <f t="shared" si="10"/>
        <v>0.71</v>
      </c>
      <c r="AE36" s="1" t="s">
        <v>133</v>
      </c>
      <c r="AF36" s="208">
        <f t="shared" si="11"/>
        <v>0.23</v>
      </c>
    </row>
    <row r="37" spans="1:48" x14ac:dyDescent="0.25">
      <c r="A37" s="38"/>
      <c r="B37" s="1" t="s">
        <v>38</v>
      </c>
      <c r="C37" s="1">
        <v>58</v>
      </c>
      <c r="D37" s="1">
        <v>0</v>
      </c>
      <c r="E37" s="67">
        <f t="shared" si="24"/>
        <v>138650.63983615386</v>
      </c>
      <c r="F37" s="60" t="str">
        <f t="shared" si="1"/>
        <v>Tekn./Adm. 5</v>
      </c>
      <c r="H37" s="83">
        <v>34</v>
      </c>
      <c r="I37">
        <v>353900</v>
      </c>
      <c r="J37" s="5"/>
      <c r="K37" s="6">
        <f t="shared" si="22"/>
        <v>353500</v>
      </c>
      <c r="L37" s="4">
        <f t="shared" si="2"/>
        <v>462258.77169230772</v>
      </c>
      <c r="M37" s="4">
        <f t="shared" si="4"/>
        <v>108758.77169230772</v>
      </c>
      <c r="N37" s="22">
        <f t="shared" si="3"/>
        <v>0.30766272048743343</v>
      </c>
      <c r="O37" s="222"/>
      <c r="P37" s="8"/>
      <c r="Q37" s="223"/>
      <c r="R37" s="224"/>
      <c r="S37" s="1"/>
      <c r="AB37" s="38">
        <v>50</v>
      </c>
      <c r="AC37" s="1" t="s">
        <v>134</v>
      </c>
      <c r="AD37" s="17">
        <f t="shared" si="10"/>
        <v>0.71</v>
      </c>
      <c r="AE37" s="1" t="s">
        <v>133</v>
      </c>
      <c r="AF37" s="208">
        <f t="shared" si="11"/>
        <v>0.23</v>
      </c>
    </row>
    <row r="38" spans="1:48" x14ac:dyDescent="0.25">
      <c r="A38" s="38"/>
      <c r="B38" s="1" t="s">
        <v>29</v>
      </c>
      <c r="C38" s="1">
        <v>59</v>
      </c>
      <c r="D38" s="1">
        <v>1</v>
      </c>
      <c r="E38" s="67">
        <f t="shared" si="24"/>
        <v>416945.56638000003</v>
      </c>
      <c r="F38" s="60" t="str">
        <f t="shared" si="1"/>
        <v>Forsker 5</v>
      </c>
      <c r="H38" s="83">
        <v>35</v>
      </c>
      <c r="I38">
        <v>358000</v>
      </c>
      <c r="J38" s="5"/>
      <c r="K38" s="6">
        <f t="shared" si="22"/>
        <v>357600</v>
      </c>
      <c r="L38" s="4">
        <f t="shared" si="2"/>
        <v>467602.60130769236</v>
      </c>
      <c r="M38" s="4">
        <f t="shared" si="4"/>
        <v>110002.60130769236</v>
      </c>
      <c r="N38" s="22">
        <f t="shared" si="3"/>
        <v>0.30761353833247301</v>
      </c>
      <c r="O38" s="222"/>
      <c r="P38" s="8"/>
      <c r="Q38" s="223"/>
      <c r="R38" s="224"/>
      <c r="S38" s="1"/>
      <c r="AB38" s="38">
        <v>51</v>
      </c>
      <c r="AC38" s="1" t="s">
        <v>134</v>
      </c>
      <c r="AD38" s="17">
        <f t="shared" si="10"/>
        <v>0.71</v>
      </c>
      <c r="AE38" s="1" t="s">
        <v>133</v>
      </c>
      <c r="AF38" s="208">
        <f t="shared" si="11"/>
        <v>0.23</v>
      </c>
    </row>
    <row r="39" spans="1:48" x14ac:dyDescent="0.25">
      <c r="A39" s="38"/>
      <c r="B39" s="1" t="s">
        <v>3</v>
      </c>
      <c r="C39" s="1">
        <v>61</v>
      </c>
      <c r="D39" s="1">
        <v>0</v>
      </c>
      <c r="E39" s="67">
        <f t="shared" si="24"/>
        <v>146396.58603230771</v>
      </c>
      <c r="F39" s="60" t="str">
        <f t="shared" si="1"/>
        <v>Tekn./Adm. 5</v>
      </c>
      <c r="H39" s="83">
        <v>36</v>
      </c>
      <c r="I39">
        <v>362200</v>
      </c>
      <c r="J39" s="5"/>
      <c r="K39" s="6">
        <f t="shared" si="22"/>
        <v>361800</v>
      </c>
      <c r="L39" s="4">
        <f t="shared" si="2"/>
        <v>473076.7682307692</v>
      </c>
      <c r="M39" s="4">
        <f t="shared" si="4"/>
        <v>111276.7682307692</v>
      </c>
      <c r="N39" s="22">
        <f t="shared" si="3"/>
        <v>0.30756431241229742</v>
      </c>
      <c r="O39" s="222"/>
      <c r="P39" s="8"/>
      <c r="Q39" s="223"/>
      <c r="R39" s="224"/>
      <c r="S39" s="1"/>
      <c r="AB39" s="38">
        <v>52</v>
      </c>
      <c r="AC39" s="1" t="s">
        <v>134</v>
      </c>
      <c r="AD39" s="17">
        <f t="shared" si="10"/>
        <v>0.71</v>
      </c>
      <c r="AE39" s="1" t="s">
        <v>133</v>
      </c>
      <c r="AF39" s="208">
        <f t="shared" si="11"/>
        <v>0.23</v>
      </c>
    </row>
    <row r="40" spans="1:48" x14ac:dyDescent="0.25">
      <c r="A40" s="38"/>
      <c r="B40" s="1" t="s">
        <v>47</v>
      </c>
      <c r="C40" s="1">
        <v>61</v>
      </c>
      <c r="D40" s="1">
        <v>0</v>
      </c>
      <c r="E40" s="67">
        <f t="shared" si="24"/>
        <v>146396.58603230771</v>
      </c>
      <c r="F40" s="60" t="str">
        <f t="shared" si="1"/>
        <v>Tekn./Adm. 5</v>
      </c>
      <c r="H40" s="83">
        <v>37</v>
      </c>
      <c r="I40">
        <v>366800</v>
      </c>
      <c r="J40" s="5"/>
      <c r="K40" s="6">
        <f t="shared" si="22"/>
        <v>366400</v>
      </c>
      <c r="L40" s="4">
        <f t="shared" si="2"/>
        <v>479072.28438461543</v>
      </c>
      <c r="M40" s="4">
        <f t="shared" si="4"/>
        <v>112672.28438461543</v>
      </c>
      <c r="N40" s="22">
        <f t="shared" si="3"/>
        <v>0.3075116931894526</v>
      </c>
      <c r="O40" s="222"/>
      <c r="P40" s="8"/>
      <c r="Q40" s="223"/>
      <c r="R40" s="224"/>
      <c r="S40" s="1"/>
      <c r="AB40" s="38">
        <v>53</v>
      </c>
      <c r="AC40" s="1" t="s">
        <v>134</v>
      </c>
      <c r="AD40" s="17">
        <f t="shared" si="10"/>
        <v>0.71</v>
      </c>
      <c r="AE40" s="1" t="s">
        <v>133</v>
      </c>
      <c r="AF40" s="208">
        <f t="shared" si="11"/>
        <v>0.23</v>
      </c>
    </row>
    <row r="41" spans="1:48" x14ac:dyDescent="0.25">
      <c r="A41" s="38"/>
      <c r="B41" s="1" t="s">
        <v>62</v>
      </c>
      <c r="C41" s="1">
        <v>61</v>
      </c>
      <c r="D41" s="1">
        <v>1</v>
      </c>
      <c r="E41" s="67">
        <f t="shared" si="24"/>
        <v>432218.49209538469</v>
      </c>
      <c r="F41" s="60" t="str">
        <f t="shared" si="1"/>
        <v>Forsker 5</v>
      </c>
      <c r="H41" s="83">
        <v>38</v>
      </c>
      <c r="I41">
        <v>371500</v>
      </c>
      <c r="J41" s="5"/>
      <c r="K41" s="6">
        <f t="shared" si="22"/>
        <v>371100</v>
      </c>
      <c r="L41" s="4">
        <f t="shared" si="2"/>
        <v>485198.13784615387</v>
      </c>
      <c r="M41" s="4">
        <f t="shared" si="4"/>
        <v>114098.13784615387</v>
      </c>
      <c r="N41" s="22">
        <f t="shared" si="3"/>
        <v>0.30745927740812146</v>
      </c>
      <c r="O41" s="222"/>
      <c r="P41" s="8"/>
      <c r="Q41" s="223"/>
      <c r="R41" s="224"/>
      <c r="S41" s="1"/>
      <c r="AB41" s="38">
        <v>54</v>
      </c>
      <c r="AC41" s="1" t="s">
        <v>134</v>
      </c>
      <c r="AD41" s="17">
        <f t="shared" si="10"/>
        <v>0.71</v>
      </c>
      <c r="AE41" s="1" t="s">
        <v>133</v>
      </c>
      <c r="AF41" s="208">
        <f t="shared" si="11"/>
        <v>0.23</v>
      </c>
    </row>
    <row r="42" spans="1:48" x14ac:dyDescent="0.25">
      <c r="A42" s="38"/>
      <c r="B42" s="1" t="s">
        <v>63</v>
      </c>
      <c r="C42" s="1">
        <v>61</v>
      </c>
      <c r="D42" s="1">
        <v>1</v>
      </c>
      <c r="E42" s="67">
        <f t="shared" si="24"/>
        <v>432218.49209538469</v>
      </c>
      <c r="F42" s="60" t="str">
        <f t="shared" si="1"/>
        <v>Forsker 5</v>
      </c>
      <c r="H42" s="83">
        <v>39</v>
      </c>
      <c r="I42">
        <v>376100</v>
      </c>
      <c r="J42" s="5"/>
      <c r="K42" s="6">
        <f t="shared" si="22"/>
        <v>375700</v>
      </c>
      <c r="L42" s="4">
        <f t="shared" si="2"/>
        <v>491193.6540000001</v>
      </c>
      <c r="M42" s="4">
        <f t="shared" si="4"/>
        <v>115493.6540000001</v>
      </c>
      <c r="N42" s="22">
        <f t="shared" si="3"/>
        <v>0.30740924673941999</v>
      </c>
      <c r="O42" s="222"/>
      <c r="P42" s="8"/>
      <c r="Q42" s="223"/>
      <c r="R42" s="224"/>
      <c r="S42" s="1"/>
      <c r="AB42" s="38">
        <v>55</v>
      </c>
      <c r="AC42" s="1" t="s">
        <v>134</v>
      </c>
      <c r="AD42" s="17">
        <f t="shared" si="10"/>
        <v>0.71</v>
      </c>
      <c r="AE42" s="1" t="s">
        <v>133</v>
      </c>
      <c r="AF42" s="208">
        <f t="shared" si="11"/>
        <v>0.23</v>
      </c>
    </row>
    <row r="43" spans="1:48" x14ac:dyDescent="0.25">
      <c r="A43" s="38"/>
      <c r="B43" s="1" t="s">
        <v>4</v>
      </c>
      <c r="C43" s="1">
        <v>62</v>
      </c>
      <c r="D43" s="1">
        <v>0</v>
      </c>
      <c r="E43" s="67">
        <f t="shared" si="24"/>
        <v>149215.78199769231</v>
      </c>
      <c r="F43" s="60" t="str">
        <f t="shared" si="1"/>
        <v>Tekn./Adm. 5</v>
      </c>
      <c r="H43" s="83">
        <v>40</v>
      </c>
      <c r="I43">
        <v>381100</v>
      </c>
      <c r="J43" s="5"/>
      <c r="K43" s="6">
        <f t="shared" si="22"/>
        <v>380700</v>
      </c>
      <c r="L43" s="4">
        <f t="shared" si="2"/>
        <v>497710.51938461541</v>
      </c>
      <c r="M43" s="4">
        <f t="shared" si="4"/>
        <v>117010.51938461541</v>
      </c>
      <c r="N43" s="22">
        <f t="shared" si="3"/>
        <v>0.30735623689155611</v>
      </c>
      <c r="O43" s="222"/>
      <c r="P43" s="8"/>
      <c r="Q43" s="223"/>
      <c r="R43" s="224"/>
      <c r="S43" s="1"/>
      <c r="AB43" s="38">
        <v>56</v>
      </c>
      <c r="AC43" s="1" t="s">
        <v>136</v>
      </c>
      <c r="AD43" s="17">
        <f t="shared" si="10"/>
        <v>0.62</v>
      </c>
      <c r="AE43" s="1" t="s">
        <v>135</v>
      </c>
      <c r="AF43" s="208">
        <f t="shared" si="11"/>
        <v>0.21</v>
      </c>
    </row>
    <row r="44" spans="1:48" x14ac:dyDescent="0.25">
      <c r="A44" s="38"/>
      <c r="B44" s="1" t="s">
        <v>59</v>
      </c>
      <c r="C44" s="1">
        <v>62</v>
      </c>
      <c r="D44" s="1">
        <v>0</v>
      </c>
      <c r="E44" s="67">
        <f t="shared" si="24"/>
        <v>149215.78199769231</v>
      </c>
      <c r="F44" s="60" t="str">
        <f t="shared" si="1"/>
        <v>Tekn./Adm. 5</v>
      </c>
      <c r="H44" s="83">
        <v>41</v>
      </c>
      <c r="I44">
        <v>386100</v>
      </c>
      <c r="J44" s="5"/>
      <c r="K44" s="6">
        <f t="shared" si="22"/>
        <v>385700</v>
      </c>
      <c r="L44" s="4">
        <f t="shared" si="2"/>
        <v>504227.38476923085</v>
      </c>
      <c r="M44" s="4">
        <f t="shared" si="4"/>
        <v>118527.38476923085</v>
      </c>
      <c r="N44" s="22">
        <f t="shared" si="3"/>
        <v>0.30730460142398458</v>
      </c>
      <c r="O44" s="222"/>
      <c r="P44" s="8"/>
      <c r="Q44" s="223"/>
      <c r="R44" s="224"/>
      <c r="S44" s="1"/>
      <c r="AB44" s="38">
        <v>57</v>
      </c>
      <c r="AC44" s="1" t="s">
        <v>136</v>
      </c>
      <c r="AD44" s="17">
        <f t="shared" si="10"/>
        <v>0.62</v>
      </c>
      <c r="AE44" s="1" t="s">
        <v>135</v>
      </c>
      <c r="AF44" s="208">
        <f t="shared" si="11"/>
        <v>0.21</v>
      </c>
    </row>
    <row r="45" spans="1:48" x14ac:dyDescent="0.25">
      <c r="A45" s="38"/>
      <c r="B45" s="1" t="s">
        <v>61</v>
      </c>
      <c r="C45" s="1">
        <v>62</v>
      </c>
      <c r="D45" s="1">
        <v>0</v>
      </c>
      <c r="E45" s="67">
        <f t="shared" si="24"/>
        <v>149215.78199769231</v>
      </c>
      <c r="F45" s="60" t="str">
        <f t="shared" si="1"/>
        <v>Tekn./Adm. 5</v>
      </c>
      <c r="H45" s="83">
        <v>42</v>
      </c>
      <c r="I45">
        <v>391800</v>
      </c>
      <c r="J45" s="5"/>
      <c r="K45" s="6">
        <f t="shared" si="22"/>
        <v>391400</v>
      </c>
      <c r="L45" s="4">
        <f t="shared" si="2"/>
        <v>511656.61130769236</v>
      </c>
      <c r="M45" s="4">
        <f t="shared" si="4"/>
        <v>120256.61130769236</v>
      </c>
      <c r="N45" s="22">
        <f t="shared" si="3"/>
        <v>0.30724734621280625</v>
      </c>
      <c r="O45" s="222"/>
      <c r="P45" s="8"/>
      <c r="Q45" s="223"/>
      <c r="R45" s="224"/>
      <c r="S45" s="1"/>
      <c r="AB45" s="38">
        <v>58</v>
      </c>
      <c r="AC45" s="1" t="s">
        <v>136</v>
      </c>
      <c r="AD45" s="17">
        <f t="shared" si="10"/>
        <v>0.62</v>
      </c>
      <c r="AE45" s="1" t="s">
        <v>135</v>
      </c>
      <c r="AF45" s="208">
        <f t="shared" si="11"/>
        <v>0.21</v>
      </c>
    </row>
    <row r="46" spans="1:48" x14ac:dyDescent="0.25">
      <c r="A46" s="38"/>
      <c r="B46" s="1" t="s">
        <v>5</v>
      </c>
      <c r="C46" s="1">
        <v>63</v>
      </c>
      <c r="D46" s="1">
        <v>0</v>
      </c>
      <c r="E46" s="67">
        <f t="shared" si="24"/>
        <v>130409.53825846156</v>
      </c>
      <c r="F46" s="60" t="str">
        <f t="shared" si="1"/>
        <v>Tekn./Adm. 4</v>
      </c>
      <c r="H46" s="83">
        <v>43</v>
      </c>
      <c r="I46">
        <v>397200</v>
      </c>
      <c r="J46" s="5"/>
      <c r="K46" s="6">
        <f t="shared" si="22"/>
        <v>396800</v>
      </c>
      <c r="L46" s="4">
        <f t="shared" si="2"/>
        <v>518694.82592307701</v>
      </c>
      <c r="M46" s="4">
        <f t="shared" si="4"/>
        <v>121894.82592307701</v>
      </c>
      <c r="N46" s="22">
        <f t="shared" si="3"/>
        <v>0.30719462178194812</v>
      </c>
      <c r="O46" s="222"/>
      <c r="P46" s="8"/>
      <c r="Q46" s="223"/>
      <c r="R46" s="224"/>
      <c r="S46" s="1"/>
      <c r="AB46" s="38">
        <v>59</v>
      </c>
      <c r="AC46" s="1" t="s">
        <v>136</v>
      </c>
      <c r="AD46" s="17">
        <f t="shared" si="10"/>
        <v>0.62</v>
      </c>
      <c r="AE46" s="1" t="s">
        <v>135</v>
      </c>
      <c r="AF46" s="208">
        <f t="shared" si="11"/>
        <v>0.21</v>
      </c>
    </row>
    <row r="47" spans="1:48" x14ac:dyDescent="0.25">
      <c r="A47" s="38"/>
      <c r="B47" s="1" t="s">
        <v>7</v>
      </c>
      <c r="C47" s="1">
        <v>63</v>
      </c>
      <c r="D47" s="1">
        <v>0</v>
      </c>
      <c r="E47" s="67">
        <f t="shared" si="24"/>
        <v>130409.53825846156</v>
      </c>
      <c r="F47" s="60" t="str">
        <f t="shared" si="1"/>
        <v>Tekn./Adm. 4</v>
      </c>
      <c r="H47" s="83">
        <v>44</v>
      </c>
      <c r="I47">
        <v>403200</v>
      </c>
      <c r="J47" s="5"/>
      <c r="K47" s="6">
        <f t="shared" si="22"/>
        <v>402800</v>
      </c>
      <c r="L47" s="4">
        <f t="shared" si="2"/>
        <v>526515.0643846154</v>
      </c>
      <c r="M47" s="4">
        <f t="shared" si="4"/>
        <v>123715.0643846154</v>
      </c>
      <c r="N47" s="22">
        <f t="shared" si="3"/>
        <v>0.30713769708196476</v>
      </c>
      <c r="O47" s="222"/>
      <c r="P47" s="8"/>
      <c r="Q47" s="223"/>
      <c r="R47" s="224"/>
      <c r="AB47" s="38">
        <v>60</v>
      </c>
      <c r="AC47" s="1" t="s">
        <v>136</v>
      </c>
      <c r="AD47" s="17">
        <f t="shared" si="10"/>
        <v>0.62</v>
      </c>
      <c r="AE47" s="1" t="s">
        <v>135</v>
      </c>
      <c r="AF47" s="208">
        <f t="shared" si="11"/>
        <v>0.21</v>
      </c>
    </row>
    <row r="48" spans="1:48" x14ac:dyDescent="0.25">
      <c r="A48" s="38"/>
      <c r="B48" s="1" t="s">
        <v>51</v>
      </c>
      <c r="C48" s="1">
        <v>64</v>
      </c>
      <c r="D48" s="1">
        <v>0</v>
      </c>
      <c r="E48" s="67">
        <f t="shared" si="24"/>
        <v>132849.45265846155</v>
      </c>
      <c r="F48" s="60" t="str">
        <f t="shared" si="1"/>
        <v>Tekn./Adm. 4</v>
      </c>
      <c r="H48" s="83">
        <v>45</v>
      </c>
      <c r="I48">
        <v>409100</v>
      </c>
      <c r="J48" s="5"/>
      <c r="K48" s="6">
        <f t="shared" si="22"/>
        <v>408700</v>
      </c>
      <c r="L48" s="4">
        <f t="shared" si="2"/>
        <v>534204.96553846158</v>
      </c>
      <c r="M48" s="4">
        <f t="shared" si="4"/>
        <v>125504.96553846158</v>
      </c>
      <c r="N48" s="22">
        <f t="shared" si="3"/>
        <v>0.30708335096271488</v>
      </c>
      <c r="O48" s="222"/>
      <c r="P48" s="8"/>
      <c r="Q48" s="223"/>
      <c r="R48" s="224"/>
      <c r="AB48" s="38">
        <v>61</v>
      </c>
      <c r="AC48" s="1" t="s">
        <v>136</v>
      </c>
      <c r="AD48" s="17">
        <f>VLOOKUP(AC48,$S$21:$X$27,6,FALSE)</f>
        <v>0.62</v>
      </c>
      <c r="AE48" s="1" t="s">
        <v>135</v>
      </c>
      <c r="AF48" s="208">
        <f t="shared" si="11"/>
        <v>0.21</v>
      </c>
    </row>
    <row r="49" spans="1:32" x14ac:dyDescent="0.25">
      <c r="A49" s="38"/>
      <c r="B49" s="1" t="s">
        <v>0</v>
      </c>
      <c r="C49" s="1">
        <v>66</v>
      </c>
      <c r="D49" s="1">
        <v>1</v>
      </c>
      <c r="E49" s="67">
        <f t="shared" si="24"/>
        <v>420982.84216153855</v>
      </c>
      <c r="F49" s="60" t="str">
        <f t="shared" si="1"/>
        <v>Forsker 4</v>
      </c>
      <c r="H49" s="83">
        <v>46</v>
      </c>
      <c r="I49">
        <v>415100</v>
      </c>
      <c r="J49" s="5"/>
      <c r="K49" s="6">
        <f t="shared" si="22"/>
        <v>414700</v>
      </c>
      <c r="L49" s="4">
        <f t="shared" si="2"/>
        <v>542025.20400000003</v>
      </c>
      <c r="M49" s="4">
        <f t="shared" si="4"/>
        <v>127325.20400000003</v>
      </c>
      <c r="N49" s="22">
        <f t="shared" si="3"/>
        <v>0.30702966964070416</v>
      </c>
      <c r="O49" s="222"/>
      <c r="P49" s="8"/>
      <c r="Q49" s="223"/>
      <c r="R49" s="224"/>
      <c r="AB49" s="38">
        <v>62</v>
      </c>
      <c r="AC49" s="1" t="s">
        <v>136</v>
      </c>
      <c r="AD49" s="17">
        <f>VLOOKUP(AC49,$S$21:$X$27,6,FALSE)</f>
        <v>0.62</v>
      </c>
      <c r="AE49" s="1" t="s">
        <v>135</v>
      </c>
      <c r="AF49" s="208">
        <f t="shared" si="11"/>
        <v>0.21</v>
      </c>
    </row>
    <row r="50" spans="1:32" x14ac:dyDescent="0.25">
      <c r="A50" s="38"/>
      <c r="B50" s="1" t="s">
        <v>21</v>
      </c>
      <c r="C50" s="1">
        <v>66</v>
      </c>
      <c r="D50" s="1">
        <v>0</v>
      </c>
      <c r="E50" s="67">
        <f t="shared" si="24"/>
        <v>137776.20288923077</v>
      </c>
      <c r="F50" s="60" t="str">
        <f t="shared" si="1"/>
        <v>Tekn./Adm. 4</v>
      </c>
      <c r="H50" s="83">
        <v>47</v>
      </c>
      <c r="I50">
        <v>421700</v>
      </c>
      <c r="J50" s="5"/>
      <c r="K50" s="6">
        <f t="shared" si="22"/>
        <v>421300</v>
      </c>
      <c r="L50" s="4">
        <f t="shared" si="2"/>
        <v>550627.46630769235</v>
      </c>
      <c r="M50" s="4">
        <f t="shared" si="4"/>
        <v>129327.46630769235</v>
      </c>
      <c r="N50" s="22">
        <f t="shared" si="3"/>
        <v>0.30697238620387457</v>
      </c>
      <c r="O50" s="222"/>
      <c r="P50" s="8"/>
      <c r="Q50" s="223"/>
      <c r="R50" s="224"/>
      <c r="AB50" s="38">
        <v>63</v>
      </c>
      <c r="AC50" s="1" t="s">
        <v>138</v>
      </c>
      <c r="AD50" s="17">
        <f t="shared" si="10"/>
        <v>0.55000000000000004</v>
      </c>
      <c r="AE50" s="1" t="s">
        <v>137</v>
      </c>
      <c r="AF50" s="208">
        <f t="shared" si="11"/>
        <v>0.18</v>
      </c>
    </row>
    <row r="51" spans="1:32" x14ac:dyDescent="0.25">
      <c r="A51" s="38"/>
      <c r="B51" s="1" t="s">
        <v>28</v>
      </c>
      <c r="C51" s="1">
        <v>66</v>
      </c>
      <c r="D51" s="1">
        <v>1</v>
      </c>
      <c r="E51" s="67">
        <f t="shared" si="24"/>
        <v>420982.84216153855</v>
      </c>
      <c r="F51" s="60" t="str">
        <f t="shared" si="1"/>
        <v>Forsker 4</v>
      </c>
      <c r="H51" s="83">
        <v>48</v>
      </c>
      <c r="I51">
        <v>428500</v>
      </c>
      <c r="J51" s="5"/>
      <c r="K51" s="6">
        <f t="shared" si="22"/>
        <v>428100</v>
      </c>
      <c r="L51" s="4">
        <f t="shared" si="2"/>
        <v>559490.40323076933</v>
      </c>
      <c r="M51" s="4">
        <f t="shared" si="4"/>
        <v>131390.40323076933</v>
      </c>
      <c r="N51" s="22">
        <f t="shared" si="3"/>
        <v>0.30691521427416335</v>
      </c>
      <c r="O51" s="222"/>
      <c r="P51" s="8"/>
      <c r="Q51" s="223"/>
      <c r="R51" s="224"/>
      <c r="AB51" s="38">
        <v>64</v>
      </c>
      <c r="AC51" s="1" t="s">
        <v>138</v>
      </c>
      <c r="AD51" s="17">
        <f t="shared" si="10"/>
        <v>0.55000000000000004</v>
      </c>
      <c r="AE51" s="1" t="s">
        <v>137</v>
      </c>
      <c r="AF51" s="208">
        <f t="shared" si="11"/>
        <v>0.18</v>
      </c>
    </row>
    <row r="52" spans="1:32" x14ac:dyDescent="0.25">
      <c r="A52" s="38"/>
      <c r="B52" s="1" t="s">
        <v>32</v>
      </c>
      <c r="C52" s="1">
        <v>66</v>
      </c>
      <c r="D52" s="1">
        <v>0</v>
      </c>
      <c r="E52" s="67">
        <f t="shared" si="24"/>
        <v>137776.20288923077</v>
      </c>
      <c r="F52" s="60" t="str">
        <f t="shared" si="1"/>
        <v>Tekn./Adm. 4</v>
      </c>
      <c r="H52" s="83">
        <v>49</v>
      </c>
      <c r="I52">
        <v>435500</v>
      </c>
      <c r="J52" s="5"/>
      <c r="K52" s="6">
        <f t="shared" si="22"/>
        <v>435100</v>
      </c>
      <c r="L52" s="4">
        <f t="shared" si="2"/>
        <v>568614.01476923085</v>
      </c>
      <c r="M52" s="4">
        <f t="shared" si="4"/>
        <v>133514.01476923085</v>
      </c>
      <c r="N52" s="22">
        <f t="shared" si="3"/>
        <v>0.30685822746318286</v>
      </c>
      <c r="O52" s="222"/>
      <c r="P52" s="8"/>
      <c r="Q52" s="223"/>
      <c r="R52" s="224"/>
      <c r="AB52" s="38">
        <v>65</v>
      </c>
      <c r="AC52" s="1" t="s">
        <v>138</v>
      </c>
      <c r="AD52" s="17">
        <f t="shared" si="10"/>
        <v>0.55000000000000004</v>
      </c>
      <c r="AE52" s="1" t="s">
        <v>137</v>
      </c>
      <c r="AF52" s="208">
        <f t="shared" si="11"/>
        <v>0.18</v>
      </c>
    </row>
    <row r="53" spans="1:32" x14ac:dyDescent="0.25">
      <c r="A53" s="38"/>
      <c r="B53" s="1" t="s">
        <v>24</v>
      </c>
      <c r="C53" s="1">
        <v>67</v>
      </c>
      <c r="D53" s="1">
        <v>1</v>
      </c>
      <c r="E53" s="67">
        <f t="shared" si="24"/>
        <v>428796.56375769235</v>
      </c>
      <c r="F53" s="60" t="str">
        <f t="shared" si="1"/>
        <v>Forsker 4</v>
      </c>
      <c r="H53" s="83">
        <v>50</v>
      </c>
      <c r="I53">
        <v>442400</v>
      </c>
      <c r="J53" s="5"/>
      <c r="K53" s="6">
        <f t="shared" si="22"/>
        <v>442000</v>
      </c>
      <c r="L53" s="4">
        <f t="shared" si="2"/>
        <v>577607.28900000011</v>
      </c>
      <c r="M53" s="4">
        <f t="shared" si="4"/>
        <v>135607.28900000011</v>
      </c>
      <c r="N53" s="22">
        <f t="shared" si="3"/>
        <v>0.30680382126696859</v>
      </c>
      <c r="O53" s="222"/>
      <c r="P53" s="8"/>
      <c r="Q53" s="223"/>
      <c r="R53" s="224"/>
      <c r="AB53" s="38">
        <v>66</v>
      </c>
      <c r="AC53" s="1" t="s">
        <v>138</v>
      </c>
      <c r="AD53" s="17">
        <f t="shared" si="10"/>
        <v>0.55000000000000004</v>
      </c>
      <c r="AE53" s="1" t="s">
        <v>137</v>
      </c>
      <c r="AF53" s="208">
        <f t="shared" si="11"/>
        <v>0.18</v>
      </c>
    </row>
    <row r="54" spans="1:32" x14ac:dyDescent="0.25">
      <c r="A54" s="38"/>
      <c r="B54" s="1" t="s">
        <v>34</v>
      </c>
      <c r="C54" s="1">
        <v>69</v>
      </c>
      <c r="D54" s="1">
        <v>0</v>
      </c>
      <c r="E54" s="67">
        <f t="shared" si="24"/>
        <v>145471.31753538465</v>
      </c>
      <c r="F54" s="60" t="str">
        <f t="shared" si="1"/>
        <v>Tekn./Adm. 4</v>
      </c>
      <c r="H54" s="83">
        <v>51</v>
      </c>
      <c r="I54">
        <v>449400</v>
      </c>
      <c r="J54" s="5"/>
      <c r="K54" s="6">
        <f t="shared" si="22"/>
        <v>449000</v>
      </c>
      <c r="L54" s="4">
        <f t="shared" si="2"/>
        <v>586730.90053846163</v>
      </c>
      <c r="M54" s="4">
        <f t="shared" si="4"/>
        <v>137730.90053846163</v>
      </c>
      <c r="N54" s="22">
        <f t="shared" si="3"/>
        <v>0.30675033527497025</v>
      </c>
      <c r="O54" s="222"/>
      <c r="P54" s="8"/>
      <c r="Q54" s="223"/>
      <c r="R54" s="224"/>
      <c r="AB54" s="38">
        <v>67</v>
      </c>
      <c r="AC54" s="1" t="s">
        <v>138</v>
      </c>
      <c r="AD54" s="17">
        <f t="shared" si="10"/>
        <v>0.55000000000000004</v>
      </c>
      <c r="AE54" s="1" t="s">
        <v>137</v>
      </c>
      <c r="AF54" s="208">
        <f t="shared" si="11"/>
        <v>0.18</v>
      </c>
    </row>
    <row r="55" spans="1:32" x14ac:dyDescent="0.25">
      <c r="A55" s="38"/>
      <c r="B55" s="1" t="s">
        <v>53</v>
      </c>
      <c r="C55" s="1">
        <v>71</v>
      </c>
      <c r="D55" s="1">
        <v>0</v>
      </c>
      <c r="E55" s="67">
        <f t="shared" si="24"/>
        <v>135021.82537846157</v>
      </c>
      <c r="F55" s="60" t="str">
        <f t="shared" si="1"/>
        <v>Tekn./Adm. 3</v>
      </c>
      <c r="H55" s="83">
        <v>52</v>
      </c>
      <c r="I55">
        <v>456900</v>
      </c>
      <c r="J55" s="5"/>
      <c r="K55" s="6">
        <f t="shared" si="22"/>
        <v>456500</v>
      </c>
      <c r="L55" s="4">
        <f t="shared" si="2"/>
        <v>596506.19861538475</v>
      </c>
      <c r="M55" s="4">
        <f t="shared" si="4"/>
        <v>140006.19861538475</v>
      </c>
      <c r="N55" s="22">
        <f t="shared" si="3"/>
        <v>0.30669484910270484</v>
      </c>
      <c r="O55" s="222"/>
      <c r="P55" s="8"/>
      <c r="Q55" s="223"/>
      <c r="R55" s="224"/>
      <c r="AB55" s="38">
        <v>68</v>
      </c>
      <c r="AC55" s="1" t="s">
        <v>138</v>
      </c>
      <c r="AD55" s="17">
        <f t="shared" si="10"/>
        <v>0.55000000000000004</v>
      </c>
      <c r="AE55" s="1" t="s">
        <v>137</v>
      </c>
      <c r="AF55" s="208">
        <f t="shared" si="11"/>
        <v>0.18</v>
      </c>
    </row>
    <row r="56" spans="1:32" x14ac:dyDescent="0.25">
      <c r="A56" s="38"/>
      <c r="B56" s="1" t="s">
        <v>54</v>
      </c>
      <c r="C56" s="1">
        <v>71</v>
      </c>
      <c r="D56" s="1">
        <v>0</v>
      </c>
      <c r="E56" s="67">
        <f t="shared" si="24"/>
        <v>135021.82537846157</v>
      </c>
      <c r="F56" s="60" t="str">
        <f t="shared" si="1"/>
        <v>Tekn./Adm. 3</v>
      </c>
      <c r="H56" s="83">
        <v>53</v>
      </c>
      <c r="I56">
        <v>464800</v>
      </c>
      <c r="J56" s="5"/>
      <c r="K56" s="6">
        <f t="shared" si="22"/>
        <v>464400</v>
      </c>
      <c r="L56" s="4">
        <f t="shared" si="2"/>
        <v>606802.84592307697</v>
      </c>
      <c r="M56" s="4">
        <f t="shared" si="4"/>
        <v>142402.84592307697</v>
      </c>
      <c r="N56" s="22">
        <f t="shared" si="3"/>
        <v>0.30663834178095817</v>
      </c>
      <c r="O56" s="222"/>
      <c r="P56" s="8"/>
      <c r="Q56" s="223"/>
      <c r="R56" s="224"/>
      <c r="AB56" s="38">
        <v>69</v>
      </c>
      <c r="AC56" s="1" t="s">
        <v>138</v>
      </c>
      <c r="AD56" s="17">
        <f>VLOOKUP(AC56,$S$21:$X$27,6,FALSE)</f>
        <v>0.55000000000000004</v>
      </c>
      <c r="AE56" s="1" t="s">
        <v>137</v>
      </c>
      <c r="AF56" s="208">
        <f t="shared" si="11"/>
        <v>0.18</v>
      </c>
    </row>
    <row r="57" spans="1:32" x14ac:dyDescent="0.25">
      <c r="A57" s="38"/>
      <c r="B57" s="1" t="s">
        <v>44</v>
      </c>
      <c r="C57" s="1">
        <v>72</v>
      </c>
      <c r="D57" s="1">
        <v>0</v>
      </c>
      <c r="E57" s="67">
        <f t="shared" si="24"/>
        <v>137440.88580923079</v>
      </c>
      <c r="F57" s="60" t="str">
        <f t="shared" si="1"/>
        <v>Tekn./Adm. 3</v>
      </c>
      <c r="H57" s="83">
        <v>54</v>
      </c>
      <c r="I57">
        <v>472300</v>
      </c>
      <c r="J57" s="5"/>
      <c r="K57" s="6">
        <f t="shared" si="22"/>
        <v>471900</v>
      </c>
      <c r="L57" s="4">
        <f t="shared" si="2"/>
        <v>616578.14399999997</v>
      </c>
      <c r="M57" s="4">
        <f t="shared" si="4"/>
        <v>144678.14399999997</v>
      </c>
      <c r="N57" s="22">
        <f t="shared" si="3"/>
        <v>0.30658644628099169</v>
      </c>
      <c r="O57" s="222"/>
      <c r="P57" s="8"/>
      <c r="Q57" s="223"/>
      <c r="R57" s="224"/>
      <c r="AB57" s="38">
        <v>70</v>
      </c>
      <c r="AC57" s="1" t="s">
        <v>140</v>
      </c>
      <c r="AD57" s="17">
        <f t="shared" si="10"/>
        <v>0.48</v>
      </c>
      <c r="AE57" s="1" t="s">
        <v>139</v>
      </c>
      <c r="AF57" s="208">
        <f t="shared" si="11"/>
        <v>0.16</v>
      </c>
    </row>
    <row r="58" spans="1:32" x14ac:dyDescent="0.25">
      <c r="A58" s="38"/>
      <c r="B58" s="1" t="s">
        <v>50</v>
      </c>
      <c r="C58" s="1">
        <v>73</v>
      </c>
      <c r="D58" s="1">
        <v>0</v>
      </c>
      <c r="E58" s="67">
        <f t="shared" si="24"/>
        <v>139880.80020923077</v>
      </c>
      <c r="F58" s="60" t="str">
        <f t="shared" si="1"/>
        <v>Tekn./Adm. 3</v>
      </c>
      <c r="H58" s="83">
        <v>55</v>
      </c>
      <c r="I58">
        <v>480600</v>
      </c>
      <c r="J58" s="5"/>
      <c r="K58" s="6">
        <f t="shared" si="22"/>
        <v>480200</v>
      </c>
      <c r="L58" s="4">
        <f t="shared" si="2"/>
        <v>627396.14053846162</v>
      </c>
      <c r="M58" s="4">
        <f t="shared" si="4"/>
        <v>147196.14053846162</v>
      </c>
      <c r="N58" s="22">
        <f t="shared" si="3"/>
        <v>0.30653090491141527</v>
      </c>
      <c r="O58" s="222"/>
      <c r="P58" s="8"/>
      <c r="Q58" s="223"/>
      <c r="R58" s="224"/>
      <c r="AB58" s="38">
        <v>71</v>
      </c>
      <c r="AC58" s="1" t="s">
        <v>140</v>
      </c>
      <c r="AD58" s="17">
        <f t="shared" si="10"/>
        <v>0.48</v>
      </c>
      <c r="AE58" s="1" t="s">
        <v>139</v>
      </c>
      <c r="AF58" s="208">
        <f t="shared" si="11"/>
        <v>0.16</v>
      </c>
    </row>
    <row r="59" spans="1:32" x14ac:dyDescent="0.25">
      <c r="A59" s="38"/>
      <c r="B59" s="1" t="s">
        <v>49</v>
      </c>
      <c r="C59" s="1">
        <v>74</v>
      </c>
      <c r="D59" s="1">
        <v>0</v>
      </c>
      <c r="E59" s="67">
        <f t="shared" si="24"/>
        <v>142424.98445538466</v>
      </c>
      <c r="F59" s="60" t="str">
        <f t="shared" si="1"/>
        <v>Tekn./Adm. 3</v>
      </c>
      <c r="H59" s="83">
        <v>56</v>
      </c>
      <c r="I59">
        <v>488500</v>
      </c>
      <c r="J59" s="5"/>
      <c r="K59" s="6">
        <f t="shared" si="22"/>
        <v>488100</v>
      </c>
      <c r="L59" s="4">
        <f t="shared" si="2"/>
        <v>637692.78784615395</v>
      </c>
      <c r="M59" s="4">
        <f t="shared" si="4"/>
        <v>149592.78784615395</v>
      </c>
      <c r="N59" s="22">
        <f t="shared" si="3"/>
        <v>0.30647979480875631</v>
      </c>
      <c r="O59" s="222"/>
      <c r="P59" s="8"/>
      <c r="Q59" s="223"/>
      <c r="R59" s="224"/>
      <c r="AB59" s="38">
        <v>72</v>
      </c>
      <c r="AC59" s="1" t="s">
        <v>140</v>
      </c>
      <c r="AD59" s="17">
        <f t="shared" si="10"/>
        <v>0.48</v>
      </c>
      <c r="AE59" s="1" t="s">
        <v>139</v>
      </c>
      <c r="AF59" s="208">
        <f t="shared" si="11"/>
        <v>0.16</v>
      </c>
    </row>
    <row r="60" spans="1:32" x14ac:dyDescent="0.25">
      <c r="A60" s="38"/>
      <c r="B60" s="1" t="s">
        <v>11</v>
      </c>
      <c r="C60" s="1">
        <v>77</v>
      </c>
      <c r="D60" s="1">
        <v>1</v>
      </c>
      <c r="E60" s="67">
        <f t="shared" si="24"/>
        <v>458055.41195076931</v>
      </c>
      <c r="F60" s="60" t="str">
        <f t="shared" si="1"/>
        <v>Forsker 3</v>
      </c>
      <c r="H60" s="83">
        <v>57</v>
      </c>
      <c r="I60">
        <v>497000</v>
      </c>
      <c r="J60" s="5"/>
      <c r="K60" s="6">
        <f t="shared" si="22"/>
        <v>496600</v>
      </c>
      <c r="L60" s="4">
        <f t="shared" si="2"/>
        <v>648771.45900000003</v>
      </c>
      <c r="M60" s="4">
        <f t="shared" si="4"/>
        <v>152171.45900000003</v>
      </c>
      <c r="N60" s="22">
        <f t="shared" si="3"/>
        <v>0.30642661900926305</v>
      </c>
      <c r="O60" s="222"/>
      <c r="P60" s="8"/>
      <c r="Q60" s="223"/>
      <c r="R60" s="224"/>
      <c r="AB60" s="38">
        <v>73</v>
      </c>
      <c r="AC60" s="1" t="s">
        <v>140</v>
      </c>
      <c r="AD60" s="17">
        <f t="shared" si="10"/>
        <v>0.48</v>
      </c>
      <c r="AE60" s="1" t="s">
        <v>139</v>
      </c>
      <c r="AF60" s="208">
        <f t="shared" si="11"/>
        <v>0.16</v>
      </c>
    </row>
    <row r="61" spans="1:32" x14ac:dyDescent="0.25">
      <c r="A61" s="38"/>
      <c r="B61" s="1" t="s">
        <v>6</v>
      </c>
      <c r="C61" s="1">
        <v>83</v>
      </c>
      <c r="D61" s="1">
        <v>0</v>
      </c>
      <c r="E61" s="67">
        <f t="shared" si="24"/>
        <v>147761.12022000001</v>
      </c>
      <c r="F61" s="60" t="str">
        <f t="shared" si="1"/>
        <v>Tekn./Adm. 2</v>
      </c>
      <c r="H61" s="83">
        <v>58</v>
      </c>
      <c r="I61">
        <v>505800</v>
      </c>
      <c r="J61" s="5"/>
      <c r="K61" s="6">
        <f t="shared" si="22"/>
        <v>505400</v>
      </c>
      <c r="L61" s="4">
        <f t="shared" si="2"/>
        <v>660241.14207692316</v>
      </c>
      <c r="M61" s="4">
        <f t="shared" si="4"/>
        <v>154841.14207692316</v>
      </c>
      <c r="N61" s="22">
        <f t="shared" si="3"/>
        <v>0.30637345088429591</v>
      </c>
      <c r="O61" s="222"/>
      <c r="P61" s="8"/>
      <c r="Q61" s="223"/>
      <c r="R61" s="224"/>
      <c r="AB61" s="38">
        <v>74</v>
      </c>
      <c r="AC61" s="1" t="s">
        <v>140</v>
      </c>
      <c r="AD61" s="17">
        <f t="shared" si="10"/>
        <v>0.48</v>
      </c>
      <c r="AE61" s="1" t="s">
        <v>139</v>
      </c>
      <c r="AF61" s="208">
        <f t="shared" si="11"/>
        <v>0.16</v>
      </c>
    </row>
    <row r="62" spans="1:32" x14ac:dyDescent="0.25">
      <c r="A62" s="38"/>
      <c r="B62" s="1" t="s">
        <v>1</v>
      </c>
      <c r="C62" s="1">
        <v>84</v>
      </c>
      <c r="D62" s="1">
        <v>0</v>
      </c>
      <c r="E62" s="67">
        <f t="shared" si="24"/>
        <v>151590.43032000001</v>
      </c>
      <c r="F62" s="60" t="str">
        <f t="shared" si="1"/>
        <v>Tekn./Adm. 2</v>
      </c>
      <c r="H62" s="83">
        <v>59</v>
      </c>
      <c r="I62">
        <v>515200</v>
      </c>
      <c r="J62" s="5"/>
      <c r="K62" s="6">
        <f t="shared" si="22"/>
        <v>514800</v>
      </c>
      <c r="L62" s="4">
        <f t="shared" si="2"/>
        <v>672492.84900000005</v>
      </c>
      <c r="M62" s="4">
        <f t="shared" si="4"/>
        <v>157692.84900000005</v>
      </c>
      <c r="N62" s="22">
        <f t="shared" si="3"/>
        <v>0.3063186655011656</v>
      </c>
      <c r="O62" s="222"/>
      <c r="P62" s="8"/>
      <c r="Q62" s="223"/>
      <c r="R62" s="224"/>
      <c r="AB62" s="38">
        <v>75</v>
      </c>
      <c r="AC62" s="1" t="s">
        <v>140</v>
      </c>
      <c r="AD62" s="17">
        <f t="shared" si="10"/>
        <v>0.48</v>
      </c>
      <c r="AE62" s="1" t="s">
        <v>139</v>
      </c>
      <c r="AF62" s="208">
        <f t="shared" si="11"/>
        <v>0.16</v>
      </c>
    </row>
    <row r="63" spans="1:32" x14ac:dyDescent="0.25">
      <c r="A63" s="38"/>
      <c r="B63" s="1" t="s">
        <v>31</v>
      </c>
      <c r="C63" s="1">
        <v>84</v>
      </c>
      <c r="D63" s="1">
        <v>0</v>
      </c>
      <c r="E63" s="67">
        <f t="shared" si="24"/>
        <v>151590.43032000001</v>
      </c>
      <c r="F63" s="60" t="str">
        <f t="shared" si="1"/>
        <v>Tekn./Adm. 2</v>
      </c>
      <c r="H63" s="83">
        <v>60</v>
      </c>
      <c r="I63">
        <v>524200</v>
      </c>
      <c r="J63" s="5"/>
      <c r="K63" s="6">
        <f t="shared" si="22"/>
        <v>523800</v>
      </c>
      <c r="L63" s="4">
        <f t="shared" si="2"/>
        <v>684223.20669230772</v>
      </c>
      <c r="M63" s="4">
        <f t="shared" si="4"/>
        <v>160423.20669230772</v>
      </c>
      <c r="N63" s="22">
        <f t="shared" si="3"/>
        <v>0.30626805401356955</v>
      </c>
      <c r="O63" s="222"/>
      <c r="P63" s="8"/>
      <c r="Q63" s="223"/>
      <c r="R63" s="224"/>
      <c r="AB63" s="38">
        <v>76</v>
      </c>
      <c r="AC63" s="1" t="s">
        <v>140</v>
      </c>
      <c r="AD63" s="17">
        <f t="shared" si="10"/>
        <v>0.48</v>
      </c>
      <c r="AE63" s="1" t="s">
        <v>139</v>
      </c>
      <c r="AF63" s="208">
        <f t="shared" si="11"/>
        <v>0.16</v>
      </c>
    </row>
    <row r="64" spans="1:32" x14ac:dyDescent="0.25">
      <c r="A64" s="38"/>
      <c r="B64" s="1" t="s">
        <v>17</v>
      </c>
      <c r="C64" s="1">
        <v>86</v>
      </c>
      <c r="D64" s="1">
        <v>1</v>
      </c>
      <c r="E64" s="67">
        <f t="shared" si="24"/>
        <v>501286.79804043547</v>
      </c>
      <c r="F64" s="60" t="str">
        <f t="shared" si="1"/>
        <v>Forsker 2</v>
      </c>
      <c r="H64" s="83">
        <v>61</v>
      </c>
      <c r="I64">
        <v>534100</v>
      </c>
      <c r="J64" s="5"/>
      <c r="K64" s="6">
        <f t="shared" si="22"/>
        <v>533700</v>
      </c>
      <c r="L64" s="4">
        <f t="shared" si="2"/>
        <v>697126.60015384632</v>
      </c>
      <c r="M64" s="4">
        <f t="shared" si="4"/>
        <v>163426.60015384632</v>
      </c>
      <c r="N64" s="22">
        <f t="shared" si="3"/>
        <v>0.30621435292082877</v>
      </c>
      <c r="O64" s="222"/>
      <c r="P64" s="8"/>
      <c r="Q64" s="223"/>
      <c r="R64" s="224"/>
      <c r="AB64" s="38">
        <v>77</v>
      </c>
      <c r="AC64" s="1" t="s">
        <v>140</v>
      </c>
      <c r="AD64" s="17">
        <f t="shared" si="10"/>
        <v>0.48</v>
      </c>
      <c r="AE64" s="1" t="s">
        <v>139</v>
      </c>
      <c r="AF64" s="208">
        <f t="shared" si="11"/>
        <v>0.16</v>
      </c>
    </row>
    <row r="65" spans="1:32" x14ac:dyDescent="0.25">
      <c r="A65" s="38"/>
      <c r="B65" s="1" t="s">
        <v>9</v>
      </c>
      <c r="C65" s="1">
        <v>91</v>
      </c>
      <c r="D65" s="1">
        <v>0</v>
      </c>
      <c r="E65" s="67">
        <f t="shared" si="24"/>
        <v>144359.54352029075</v>
      </c>
      <c r="F65" s="60" t="str">
        <f t="shared" si="1"/>
        <v>Tekn./Adm. 1</v>
      </c>
      <c r="H65" s="83">
        <v>62</v>
      </c>
      <c r="I65">
        <v>544400</v>
      </c>
      <c r="J65" s="5"/>
      <c r="K65" s="6">
        <f t="shared" si="22"/>
        <v>544000</v>
      </c>
      <c r="L65" s="4">
        <f t="shared" si="2"/>
        <v>710551.34284615389</v>
      </c>
      <c r="M65" s="4">
        <f t="shared" si="4"/>
        <v>166551.34284615389</v>
      </c>
      <c r="N65" s="22">
        <f t="shared" si="3"/>
        <v>0.30616055670248876</v>
      </c>
      <c r="O65" s="222"/>
      <c r="P65" s="8"/>
      <c r="Q65" s="223"/>
      <c r="R65" s="224"/>
      <c r="AB65" s="38">
        <v>78</v>
      </c>
      <c r="AC65" s="1" t="s">
        <v>141</v>
      </c>
      <c r="AD65" s="17">
        <f t="shared" si="10"/>
        <v>0.40435458786936235</v>
      </c>
      <c r="AE65" s="1" t="s">
        <v>142</v>
      </c>
      <c r="AF65" s="208">
        <f t="shared" si="11"/>
        <v>0.13</v>
      </c>
    </row>
    <row r="66" spans="1:32" x14ac:dyDescent="0.25">
      <c r="A66" s="38"/>
      <c r="B66" s="1" t="s">
        <v>42</v>
      </c>
      <c r="C66" s="1">
        <v>93</v>
      </c>
      <c r="D66" s="1">
        <v>0</v>
      </c>
      <c r="E66" s="67">
        <f t="shared" si="24"/>
        <v>150442.73313870386</v>
      </c>
      <c r="F66" s="60" t="str">
        <f t="shared" si="1"/>
        <v>Tekn./Adm. 1</v>
      </c>
      <c r="H66" s="83">
        <v>63</v>
      </c>
      <c r="I66">
        <v>555100</v>
      </c>
      <c r="J66" s="5"/>
      <c r="K66" s="6">
        <f t="shared" si="22"/>
        <v>554700</v>
      </c>
      <c r="L66" s="4">
        <f t="shared" si="2"/>
        <v>724497.43476923089</v>
      </c>
      <c r="M66" s="4">
        <f t="shared" si="4"/>
        <v>169797.43476923089</v>
      </c>
      <c r="N66" s="22">
        <f t="shared" si="3"/>
        <v>0.30610678703665206</v>
      </c>
      <c r="O66" s="222"/>
      <c r="P66" s="8"/>
      <c r="Q66" s="223"/>
      <c r="R66" s="224"/>
      <c r="AB66" s="38">
        <v>79</v>
      </c>
      <c r="AC66" s="1" t="s">
        <v>141</v>
      </c>
      <c r="AD66" s="17">
        <f t="shared" si="10"/>
        <v>0.40435458786936235</v>
      </c>
      <c r="AE66" s="1" t="s">
        <v>142</v>
      </c>
      <c r="AF66" s="208">
        <f t="shared" si="11"/>
        <v>0.13</v>
      </c>
    </row>
    <row r="67" spans="1:32" x14ac:dyDescent="0.25">
      <c r="A67" s="38"/>
      <c r="B67" s="1" t="s">
        <v>10</v>
      </c>
      <c r="C67" s="1">
        <v>94</v>
      </c>
      <c r="D67" s="1">
        <v>0</v>
      </c>
      <c r="E67" s="67">
        <f t="shared" ref="E67" si="25">VLOOKUP(F67,$S$13:$X$27,6,FALSE)*VLOOKUP(C67,H:Q,5,FALSE)</f>
        <v>153477.5838352514</v>
      </c>
      <c r="F67" s="60" t="str">
        <f t="shared" si="1"/>
        <v>Tekn./Adm. 1</v>
      </c>
      <c r="H67" s="83">
        <v>64</v>
      </c>
      <c r="I67">
        <v>565500</v>
      </c>
      <c r="J67" s="5"/>
      <c r="K67" s="6">
        <f t="shared" si="22"/>
        <v>565100</v>
      </c>
      <c r="L67" s="4">
        <f t="shared" si="2"/>
        <v>738052.51476923085</v>
      </c>
      <c r="M67" s="4">
        <f t="shared" si="4"/>
        <v>172952.51476923085</v>
      </c>
      <c r="N67" s="22">
        <f t="shared" si="3"/>
        <v>0.30605647632141364</v>
      </c>
      <c r="O67" s="222"/>
      <c r="P67" s="8"/>
      <c r="Q67" s="223"/>
      <c r="R67" s="224"/>
      <c r="AB67" s="38">
        <v>80</v>
      </c>
      <c r="AC67" s="1" t="s">
        <v>141</v>
      </c>
      <c r="AD67" s="17">
        <f t="shared" si="10"/>
        <v>0.40435458786936235</v>
      </c>
      <c r="AE67" s="1" t="s">
        <v>142</v>
      </c>
      <c r="AF67" s="208">
        <f t="shared" si="11"/>
        <v>0.13</v>
      </c>
    </row>
    <row r="68" spans="1:32" x14ac:dyDescent="0.25">
      <c r="A68" s="38"/>
      <c r="B68" s="107" t="s">
        <v>179</v>
      </c>
      <c r="C68" s="107">
        <v>1</v>
      </c>
      <c r="D68" s="107">
        <v>1</v>
      </c>
      <c r="E68" s="108">
        <v>451000</v>
      </c>
      <c r="F68" s="60"/>
      <c r="H68" s="83">
        <v>65</v>
      </c>
      <c r="I68">
        <v>576100</v>
      </c>
      <c r="J68" s="5"/>
      <c r="K68" s="6">
        <f t="shared" si="22"/>
        <v>575700</v>
      </c>
      <c r="L68" s="4">
        <f t="shared" si="2"/>
        <v>751868.26938461547</v>
      </c>
      <c r="M68" s="4">
        <f t="shared" si="4"/>
        <v>176168.26938461547</v>
      </c>
      <c r="N68" s="22">
        <f t="shared" si="3"/>
        <v>0.30600706858540122</v>
      </c>
      <c r="O68" s="222"/>
      <c r="P68" s="8"/>
      <c r="Q68" s="223"/>
      <c r="R68" s="224"/>
      <c r="AB68" s="38">
        <v>81</v>
      </c>
      <c r="AC68" s="1" t="s">
        <v>141</v>
      </c>
      <c r="AD68" s="17">
        <f t="shared" si="10"/>
        <v>0.40435458786936235</v>
      </c>
      <c r="AE68" s="1" t="s">
        <v>142</v>
      </c>
      <c r="AF68" s="208">
        <f t="shared" si="11"/>
        <v>0.13</v>
      </c>
    </row>
    <row r="69" spans="1:32" x14ac:dyDescent="0.25">
      <c r="A69" s="38"/>
      <c r="B69" s="1" t="s">
        <v>211</v>
      </c>
      <c r="C69" s="145" t="s">
        <v>230</v>
      </c>
      <c r="D69" s="1">
        <v>0</v>
      </c>
      <c r="E69" s="67">
        <f t="shared" ref="E69:E82" si="26">VLOOKUP(F69,$S$13:$X$27,6,FALSE)*VLOOKUP(C69,H:Q,5,FALSE)</f>
        <v>121480.93503000004</v>
      </c>
      <c r="F69" s="60" t="str">
        <f>IF(D69=1,VLOOKUP(C69,$AB$89:$AF$172,2,FALSE),VLOOKUP(C69,$AB$89:$AF$172,4,FALSE))</f>
        <v>Tekn./Adm. 7</v>
      </c>
      <c r="H69" s="83">
        <v>66</v>
      </c>
      <c r="I69">
        <v>586500</v>
      </c>
      <c r="J69" s="5"/>
      <c r="K69" s="6">
        <f t="shared" si="22"/>
        <v>586100</v>
      </c>
      <c r="L69" s="4">
        <f t="shared" ref="L69:L104" si="27">((K69*(1-5/52)*1.12+K69*0.13+1329)*1.141)</f>
        <v>765423.34938461543</v>
      </c>
      <c r="M69" s="4">
        <f t="shared" si="4"/>
        <v>179323.34938461543</v>
      </c>
      <c r="N69" s="22">
        <f t="shared" ref="N69:N132" si="28">M69/K69</f>
        <v>0.30596032995157041</v>
      </c>
      <c r="O69" s="222"/>
      <c r="P69" s="8"/>
      <c r="Q69" s="223"/>
      <c r="R69" s="224"/>
      <c r="AB69" s="38">
        <v>82</v>
      </c>
      <c r="AC69" s="1" t="s">
        <v>141</v>
      </c>
      <c r="AD69" s="17">
        <f t="shared" si="10"/>
        <v>0.40435458786936235</v>
      </c>
      <c r="AE69" s="1" t="s">
        <v>142</v>
      </c>
      <c r="AF69" s="208">
        <f t="shared" si="11"/>
        <v>0.13</v>
      </c>
    </row>
    <row r="70" spans="1:32" x14ac:dyDescent="0.25">
      <c r="A70" s="38"/>
      <c r="B70" s="1" t="s">
        <v>212</v>
      </c>
      <c r="C70" s="145" t="s">
        <v>257</v>
      </c>
      <c r="D70" s="1">
        <v>0</v>
      </c>
      <c r="E70" s="67">
        <f t="shared" si="26"/>
        <v>147637.60696999999</v>
      </c>
      <c r="F70" s="60" t="str">
        <f t="shared" ref="F70:F82" si="29">IF(D70=1,VLOOKUP(C70,$AB$89:$AF$172,2,FALSE),VLOOKUP(C70,$AB$89:$AF$172,4,FALSE))</f>
        <v>Tekn./Adm. 6</v>
      </c>
      <c r="H70" s="83">
        <v>67</v>
      </c>
      <c r="I70">
        <v>597400</v>
      </c>
      <c r="J70" s="5"/>
      <c r="K70" s="6">
        <f t="shared" si="22"/>
        <v>597000</v>
      </c>
      <c r="L70" s="4">
        <f t="shared" si="27"/>
        <v>779630.11592307698</v>
      </c>
      <c r="M70" s="4">
        <f t="shared" ref="M70:M133" si="30">L70-K70</f>
        <v>182630.11592307698</v>
      </c>
      <c r="N70" s="22">
        <f t="shared" si="28"/>
        <v>0.3059130919984539</v>
      </c>
      <c r="O70" s="222"/>
      <c r="P70" s="8"/>
      <c r="Q70" s="223"/>
      <c r="R70" s="224"/>
      <c r="AB70" s="38">
        <v>83</v>
      </c>
      <c r="AC70" s="1" t="s">
        <v>141</v>
      </c>
      <c r="AD70" s="17">
        <f t="shared" ref="AD70:AD88" si="31">VLOOKUP(AC70,$S$21:$X$27,6,FALSE)</f>
        <v>0.40435458786936235</v>
      </c>
      <c r="AE70" s="1" t="s">
        <v>142</v>
      </c>
      <c r="AF70" s="208">
        <f t="shared" ref="AF70:AF88" si="32">VLOOKUP(AE70,$S$14:$X$20,6,FALSE)</f>
        <v>0.13</v>
      </c>
    </row>
    <row r="71" spans="1:32" x14ac:dyDescent="0.25">
      <c r="A71" s="38"/>
      <c r="B71" s="1" t="s">
        <v>213</v>
      </c>
      <c r="C71" s="145" t="s">
        <v>265</v>
      </c>
      <c r="D71" s="1">
        <v>0</v>
      </c>
      <c r="E71" s="67">
        <f t="shared" si="26"/>
        <v>154507.47668999998</v>
      </c>
      <c r="F71" s="60" t="str">
        <f t="shared" si="29"/>
        <v>Tekn./Adm. 5</v>
      </c>
      <c r="H71" s="83">
        <v>68</v>
      </c>
      <c r="I71">
        <v>607700</v>
      </c>
      <c r="J71" s="5"/>
      <c r="K71" s="6">
        <f t="shared" si="22"/>
        <v>607300</v>
      </c>
      <c r="L71" s="4">
        <f t="shared" si="27"/>
        <v>793054.85861538467</v>
      </c>
      <c r="M71" s="4">
        <f t="shared" si="30"/>
        <v>185754.85861538467</v>
      </c>
      <c r="N71" s="22">
        <f t="shared" si="28"/>
        <v>0.30587001253974094</v>
      </c>
      <c r="O71" s="222"/>
      <c r="P71" s="8"/>
      <c r="Q71" s="223"/>
      <c r="R71" s="224"/>
      <c r="AB71" s="38">
        <v>84</v>
      </c>
      <c r="AC71" s="1" t="s">
        <v>141</v>
      </c>
      <c r="AD71" s="17">
        <f t="shared" si="31"/>
        <v>0.40435458786936235</v>
      </c>
      <c r="AE71" s="1" t="s">
        <v>142</v>
      </c>
      <c r="AF71" s="208">
        <f t="shared" si="32"/>
        <v>0.13</v>
      </c>
    </row>
    <row r="72" spans="1:32" x14ac:dyDescent="0.25">
      <c r="A72" s="38"/>
      <c r="B72" s="1" t="s">
        <v>214</v>
      </c>
      <c r="C72" s="145" t="s">
        <v>271</v>
      </c>
      <c r="D72" s="1">
        <v>0</v>
      </c>
      <c r="E72" s="67">
        <f t="shared" si="26"/>
        <v>148069.53252000004</v>
      </c>
      <c r="F72" s="60" t="str">
        <f t="shared" si="29"/>
        <v>Tekn./Adm. 4</v>
      </c>
      <c r="H72" s="83">
        <v>69</v>
      </c>
      <c r="I72">
        <v>619300</v>
      </c>
      <c r="J72" s="5"/>
      <c r="K72" s="6">
        <f t="shared" si="22"/>
        <v>618900</v>
      </c>
      <c r="L72" s="4">
        <f t="shared" si="27"/>
        <v>808173.98630769248</v>
      </c>
      <c r="M72" s="4">
        <f t="shared" si="30"/>
        <v>189273.98630769248</v>
      </c>
      <c r="N72" s="22">
        <f t="shared" si="28"/>
        <v>0.30582321264775003</v>
      </c>
      <c r="O72" s="222"/>
      <c r="P72" s="8"/>
      <c r="Q72" s="223"/>
      <c r="R72" s="224"/>
      <c r="AB72" s="38">
        <v>85</v>
      </c>
      <c r="AC72" s="1" t="s">
        <v>141</v>
      </c>
      <c r="AD72" s="17">
        <f t="shared" si="31"/>
        <v>0.40435458786936235</v>
      </c>
      <c r="AE72" s="1" t="s">
        <v>142</v>
      </c>
      <c r="AF72" s="208">
        <f t="shared" si="32"/>
        <v>0.13</v>
      </c>
    </row>
    <row r="73" spans="1:32" x14ac:dyDescent="0.25">
      <c r="A73" s="38"/>
      <c r="B73" s="1" t="s">
        <v>215</v>
      </c>
      <c r="C73" s="145" t="s">
        <v>279</v>
      </c>
      <c r="D73" s="1">
        <v>0</v>
      </c>
      <c r="E73" s="67">
        <f t="shared" si="26"/>
        <v>153045.34224000003</v>
      </c>
      <c r="F73" s="60" t="str">
        <f t="shared" si="29"/>
        <v>Tekn./Adm. 3</v>
      </c>
      <c r="H73" s="83">
        <v>70</v>
      </c>
      <c r="I73">
        <v>631700</v>
      </c>
      <c r="J73" s="5"/>
      <c r="K73" s="6">
        <f t="shared" si="22"/>
        <v>631300</v>
      </c>
      <c r="L73" s="4">
        <f t="shared" si="27"/>
        <v>824335.81246153847</v>
      </c>
      <c r="M73" s="4">
        <f t="shared" si="30"/>
        <v>193035.81246153847</v>
      </c>
      <c r="N73" s="22">
        <f t="shared" si="28"/>
        <v>0.3057750870608878</v>
      </c>
      <c r="O73" s="222"/>
      <c r="P73" s="8"/>
      <c r="Q73" s="223"/>
      <c r="R73" s="224"/>
      <c r="AB73" s="38">
        <v>86</v>
      </c>
      <c r="AC73" s="1" t="s">
        <v>141</v>
      </c>
      <c r="AD73" s="17">
        <f t="shared" si="31"/>
        <v>0.40435458786936235</v>
      </c>
      <c r="AE73" s="1" t="s">
        <v>142</v>
      </c>
      <c r="AF73" s="208">
        <f t="shared" si="32"/>
        <v>0.13</v>
      </c>
    </row>
    <row r="74" spans="1:32" x14ac:dyDescent="0.25">
      <c r="A74" s="38"/>
      <c r="B74" s="1" t="s">
        <v>216</v>
      </c>
      <c r="C74" s="145" t="s">
        <v>286</v>
      </c>
      <c r="D74" s="1">
        <v>0</v>
      </c>
      <c r="E74" s="67">
        <f t="shared" si="26"/>
        <v>148935.03807000004</v>
      </c>
      <c r="F74" s="60" t="str">
        <f t="shared" si="29"/>
        <v>Tekn./Adm. 2</v>
      </c>
      <c r="H74" s="83">
        <v>71</v>
      </c>
      <c r="I74">
        <v>646700</v>
      </c>
      <c r="J74" s="5"/>
      <c r="K74" s="6">
        <f t="shared" si="22"/>
        <v>646300</v>
      </c>
      <c r="L74" s="4">
        <f t="shared" si="27"/>
        <v>843886.40861538472</v>
      </c>
      <c r="M74" s="4">
        <f t="shared" si="30"/>
        <v>197586.40861538472</v>
      </c>
      <c r="N74" s="22">
        <f t="shared" si="28"/>
        <v>0.30571933872100376</v>
      </c>
      <c r="O74" s="222"/>
      <c r="P74" s="8"/>
      <c r="Q74" s="223"/>
      <c r="R74" s="224"/>
      <c r="AB74" s="38">
        <v>87</v>
      </c>
      <c r="AC74" s="1" t="s">
        <v>144</v>
      </c>
      <c r="AD74" s="17">
        <f t="shared" si="31"/>
        <v>0.30127462340672073</v>
      </c>
      <c r="AE74" s="1" t="s">
        <v>143</v>
      </c>
      <c r="AF74" s="208">
        <f t="shared" si="32"/>
        <v>0.10348706411698538</v>
      </c>
    </row>
    <row r="75" spans="1:32" x14ac:dyDescent="0.25">
      <c r="A75" s="38"/>
      <c r="B75" s="1" t="s">
        <v>217</v>
      </c>
      <c r="C75" s="145" t="s">
        <v>297</v>
      </c>
      <c r="D75" s="1">
        <v>0</v>
      </c>
      <c r="E75" s="67">
        <f t="shared" si="26"/>
        <v>157954.40302362206</v>
      </c>
      <c r="F75" s="60" t="str">
        <f t="shared" si="29"/>
        <v>Tekn./Adm. 1</v>
      </c>
      <c r="H75" s="83">
        <v>72</v>
      </c>
      <c r="I75">
        <v>658300</v>
      </c>
      <c r="J75" s="5"/>
      <c r="K75" s="6">
        <f t="shared" si="22"/>
        <v>657900</v>
      </c>
      <c r="L75" s="4">
        <f t="shared" si="27"/>
        <v>859005.53630769241</v>
      </c>
      <c r="M75" s="4">
        <f t="shared" si="30"/>
        <v>201105.53630769241</v>
      </c>
      <c r="N75" s="22">
        <f t="shared" si="28"/>
        <v>0.30567796976393435</v>
      </c>
      <c r="O75" s="222"/>
      <c r="P75" s="8"/>
      <c r="Q75" s="223"/>
      <c r="R75" s="224"/>
      <c r="AB75" s="38">
        <v>88</v>
      </c>
      <c r="AC75" s="1" t="s">
        <v>144</v>
      </c>
      <c r="AD75" s="17">
        <f t="shared" si="31"/>
        <v>0.30127462340672073</v>
      </c>
      <c r="AE75" s="1" t="s">
        <v>143</v>
      </c>
      <c r="AF75" s="208">
        <f t="shared" si="32"/>
        <v>0.10348706411698538</v>
      </c>
    </row>
    <row r="76" spans="1:32" x14ac:dyDescent="0.25">
      <c r="A76" s="38"/>
      <c r="B76" s="1" t="s">
        <v>218</v>
      </c>
      <c r="C76" s="145" t="s">
        <v>247</v>
      </c>
      <c r="D76" s="1">
        <v>1</v>
      </c>
      <c r="E76" s="67">
        <f t="shared" si="26"/>
        <v>568169.64442000014</v>
      </c>
      <c r="F76" s="60" t="str">
        <f t="shared" si="29"/>
        <v>Forsker 7</v>
      </c>
      <c r="H76" s="83">
        <v>73</v>
      </c>
      <c r="I76">
        <v>670000</v>
      </c>
      <c r="J76" s="5"/>
      <c r="K76" s="6">
        <f t="shared" si="22"/>
        <v>669600</v>
      </c>
      <c r="L76" s="4">
        <f t="shared" si="27"/>
        <v>874255.00130769238</v>
      </c>
      <c r="M76" s="4">
        <f t="shared" si="30"/>
        <v>204655.00130769238</v>
      </c>
      <c r="N76" s="22">
        <f t="shared" si="28"/>
        <v>0.30563769609870428</v>
      </c>
      <c r="O76" s="222"/>
      <c r="P76" s="8"/>
      <c r="Q76" s="223"/>
      <c r="R76" s="224"/>
      <c r="AB76" s="38">
        <v>89</v>
      </c>
      <c r="AC76" s="1" t="s">
        <v>144</v>
      </c>
      <c r="AD76" s="17">
        <f t="shared" si="31"/>
        <v>0.30127462340672073</v>
      </c>
      <c r="AE76" s="1" t="s">
        <v>143</v>
      </c>
      <c r="AF76" s="208">
        <f t="shared" si="32"/>
        <v>0.10348706411698538</v>
      </c>
    </row>
    <row r="77" spans="1:32" x14ac:dyDescent="0.25">
      <c r="A77" s="38"/>
      <c r="B77" s="1" t="s">
        <v>219</v>
      </c>
      <c r="C77" s="145" t="s">
        <v>258</v>
      </c>
      <c r="D77" s="1">
        <v>1</v>
      </c>
      <c r="E77" s="67">
        <f t="shared" si="26"/>
        <v>463345.65493999998</v>
      </c>
      <c r="F77" s="60" t="str">
        <f t="shared" si="29"/>
        <v>Forsker 6</v>
      </c>
      <c r="H77" s="83">
        <v>74</v>
      </c>
      <c r="I77">
        <v>682200</v>
      </c>
      <c r="J77" s="5"/>
      <c r="K77" s="6">
        <f t="shared" si="22"/>
        <v>681800</v>
      </c>
      <c r="L77" s="4">
        <f t="shared" si="27"/>
        <v>890156.15284615406</v>
      </c>
      <c r="M77" s="4">
        <f t="shared" si="30"/>
        <v>208356.15284615406</v>
      </c>
      <c r="N77" s="22">
        <f t="shared" si="28"/>
        <v>0.30559717343231746</v>
      </c>
      <c r="O77" s="222"/>
      <c r="P77" s="8"/>
      <c r="Q77" s="223"/>
      <c r="R77" s="224"/>
      <c r="AB77" s="38">
        <v>90</v>
      </c>
      <c r="AC77" s="1" t="s">
        <v>144</v>
      </c>
      <c r="AD77" s="17">
        <f t="shared" si="31"/>
        <v>0.30127462340672073</v>
      </c>
      <c r="AE77" s="1" t="s">
        <v>143</v>
      </c>
      <c r="AF77" s="208">
        <f t="shared" si="32"/>
        <v>0.10348706411698538</v>
      </c>
    </row>
    <row r="78" spans="1:32" x14ac:dyDescent="0.25">
      <c r="A78" s="38"/>
      <c r="B78" s="1" t="s">
        <v>220</v>
      </c>
      <c r="C78" s="145" t="s">
        <v>264</v>
      </c>
      <c r="D78" s="1">
        <v>1</v>
      </c>
      <c r="E78" s="67">
        <f t="shared" si="26"/>
        <v>447852.74617999996</v>
      </c>
      <c r="F78" s="60" t="str">
        <f t="shared" si="29"/>
        <v>Forsker 5</v>
      </c>
      <c r="H78" s="83">
        <v>75</v>
      </c>
      <c r="I78">
        <v>695500</v>
      </c>
      <c r="J78" s="5"/>
      <c r="K78" s="6">
        <f t="shared" si="22"/>
        <v>695100</v>
      </c>
      <c r="L78" s="4">
        <f t="shared" si="27"/>
        <v>907491.01476923085</v>
      </c>
      <c r="M78" s="4">
        <f t="shared" si="30"/>
        <v>212391.01476923085</v>
      </c>
      <c r="N78" s="22">
        <f t="shared" si="28"/>
        <v>0.30555461770857556</v>
      </c>
      <c r="O78" s="222"/>
      <c r="P78" s="8"/>
      <c r="Q78" s="223"/>
      <c r="R78" s="224"/>
      <c r="AB78" s="38">
        <v>91</v>
      </c>
      <c r="AC78" s="1" t="s">
        <v>144</v>
      </c>
      <c r="AD78" s="17">
        <f t="shared" si="31"/>
        <v>0.30127462340672073</v>
      </c>
      <c r="AE78" s="1" t="s">
        <v>143</v>
      </c>
      <c r="AF78" s="208">
        <f t="shared" si="32"/>
        <v>0.10348706411698538</v>
      </c>
    </row>
    <row r="79" spans="1:32" x14ac:dyDescent="0.25">
      <c r="A79" s="38"/>
      <c r="B79" s="1" t="s">
        <v>221</v>
      </c>
      <c r="C79" s="145" t="s">
        <v>271</v>
      </c>
      <c r="D79" s="1">
        <v>1</v>
      </c>
      <c r="E79" s="67">
        <f t="shared" si="26"/>
        <v>452434.68270000012</v>
      </c>
      <c r="F79" s="60" t="str">
        <f t="shared" si="29"/>
        <v>Forsker 4</v>
      </c>
      <c r="H79" s="83">
        <v>76</v>
      </c>
      <c r="I79">
        <v>713600</v>
      </c>
      <c r="J79" s="5"/>
      <c r="K79" s="6">
        <f t="shared" si="22"/>
        <v>713200</v>
      </c>
      <c r="L79" s="4">
        <f t="shared" si="27"/>
        <v>931082.06746153848</v>
      </c>
      <c r="M79" s="4">
        <f t="shared" si="30"/>
        <v>217882.06746153848</v>
      </c>
      <c r="N79" s="22">
        <f t="shared" si="28"/>
        <v>0.30549925331118688</v>
      </c>
      <c r="O79" s="222"/>
      <c r="P79" s="8"/>
      <c r="Q79" s="223"/>
      <c r="R79" s="224"/>
      <c r="AB79" s="38">
        <v>92</v>
      </c>
      <c r="AC79" s="1" t="s">
        <v>144</v>
      </c>
      <c r="AD79" s="17">
        <f t="shared" si="31"/>
        <v>0.30127462340672073</v>
      </c>
      <c r="AE79" s="1" t="s">
        <v>143</v>
      </c>
      <c r="AF79" s="208">
        <f t="shared" si="32"/>
        <v>0.10348706411698538</v>
      </c>
    </row>
    <row r="80" spans="1:32" x14ac:dyDescent="0.25">
      <c r="A80" s="38"/>
      <c r="B80" s="1" t="s">
        <v>222</v>
      </c>
      <c r="C80" s="145" t="s">
        <v>278</v>
      </c>
      <c r="D80" s="1">
        <v>1</v>
      </c>
      <c r="E80" s="67">
        <f t="shared" si="26"/>
        <v>451126.20672000007</v>
      </c>
      <c r="F80" s="60" t="str">
        <f t="shared" si="29"/>
        <v>Forsker 3</v>
      </c>
      <c r="H80" s="83">
        <v>77</v>
      </c>
      <c r="I80">
        <v>731400</v>
      </c>
      <c r="J80" s="5"/>
      <c r="K80" s="6">
        <f t="shared" si="22"/>
        <v>731000</v>
      </c>
      <c r="L80" s="4">
        <f t="shared" si="27"/>
        <v>954282.1082307694</v>
      </c>
      <c r="M80" s="4">
        <f t="shared" si="30"/>
        <v>223282.1082307694</v>
      </c>
      <c r="N80" s="22">
        <f t="shared" si="28"/>
        <v>0.30544748047984871</v>
      </c>
      <c r="O80" s="222"/>
      <c r="P80" s="8"/>
      <c r="Q80" s="223"/>
      <c r="R80" s="224"/>
      <c r="AB80" s="38">
        <v>93</v>
      </c>
      <c r="AC80" s="1" t="s">
        <v>144</v>
      </c>
      <c r="AD80" s="17">
        <f t="shared" si="31"/>
        <v>0.30127462340672073</v>
      </c>
      <c r="AE80" s="1" t="s">
        <v>143</v>
      </c>
      <c r="AF80" s="208">
        <f t="shared" si="32"/>
        <v>0.10348706411698538</v>
      </c>
    </row>
    <row r="81" spans="1:32" x14ac:dyDescent="0.25">
      <c r="A81" s="38"/>
      <c r="B81" s="1" t="s">
        <v>223</v>
      </c>
      <c r="C81" s="145" t="s">
        <v>287</v>
      </c>
      <c r="D81" s="1">
        <v>1</v>
      </c>
      <c r="E81" s="67">
        <f t="shared" si="26"/>
        <v>476745.53832037334</v>
      </c>
      <c r="F81" s="60" t="str">
        <f t="shared" si="29"/>
        <v>Forsker 2</v>
      </c>
      <c r="H81" s="83">
        <v>78</v>
      </c>
      <c r="I81">
        <v>754900</v>
      </c>
      <c r="J81" s="5"/>
      <c r="K81" s="6">
        <f t="shared" si="22"/>
        <v>754500</v>
      </c>
      <c r="L81" s="4">
        <f t="shared" si="27"/>
        <v>984911.37553846173</v>
      </c>
      <c r="M81" s="4">
        <f t="shared" si="30"/>
        <v>230411.37553846173</v>
      </c>
      <c r="N81" s="22">
        <f t="shared" si="28"/>
        <v>0.30538287016363386</v>
      </c>
      <c r="O81" s="222"/>
      <c r="P81" s="8"/>
      <c r="Q81" s="223"/>
      <c r="R81" s="224"/>
      <c r="AB81" s="38">
        <v>94</v>
      </c>
      <c r="AC81" s="1" t="s">
        <v>144</v>
      </c>
      <c r="AD81" s="17">
        <f t="shared" si="31"/>
        <v>0.30127462340672073</v>
      </c>
      <c r="AE81" s="1" t="s">
        <v>143</v>
      </c>
      <c r="AF81" s="208">
        <f t="shared" si="32"/>
        <v>0.10348706411698538</v>
      </c>
    </row>
    <row r="82" spans="1:32" ht="15.75" thickBot="1" x14ac:dyDescent="0.3">
      <c r="A82" s="61"/>
      <c r="B82" s="62" t="s">
        <v>224</v>
      </c>
      <c r="C82" s="146" t="s">
        <v>299</v>
      </c>
      <c r="D82" s="62">
        <v>1</v>
      </c>
      <c r="E82" s="68">
        <f t="shared" si="26"/>
        <v>479220.71395133261</v>
      </c>
      <c r="F82" s="60" t="str">
        <f t="shared" si="29"/>
        <v>Forsker 1</v>
      </c>
      <c r="H82" s="83">
        <v>79</v>
      </c>
      <c r="I82">
        <v>778700</v>
      </c>
      <c r="J82" s="5"/>
      <c r="K82" s="6">
        <f t="shared" si="22"/>
        <v>778300</v>
      </c>
      <c r="L82" s="4">
        <f t="shared" si="27"/>
        <v>1015931.6547692309</v>
      </c>
      <c r="M82" s="4">
        <f t="shared" si="30"/>
        <v>237631.65476923087</v>
      </c>
      <c r="N82" s="22">
        <f t="shared" si="28"/>
        <v>0.30532141175540389</v>
      </c>
      <c r="O82" s="222"/>
      <c r="P82" s="8"/>
      <c r="Q82" s="223"/>
      <c r="R82" s="224"/>
      <c r="AB82" s="38">
        <v>95</v>
      </c>
      <c r="AC82" s="1" t="s">
        <v>144</v>
      </c>
      <c r="AD82" s="17">
        <f t="shared" si="31"/>
        <v>0.30127462340672073</v>
      </c>
      <c r="AE82" s="1" t="s">
        <v>143</v>
      </c>
      <c r="AF82" s="208">
        <f t="shared" si="32"/>
        <v>0.10348706411698538</v>
      </c>
    </row>
    <row r="83" spans="1:32" x14ac:dyDescent="0.25">
      <c r="F83" s="65"/>
      <c r="H83" s="83">
        <v>80</v>
      </c>
      <c r="I83">
        <v>802600</v>
      </c>
      <c r="J83" s="5"/>
      <c r="K83" s="6">
        <f t="shared" si="22"/>
        <v>802200</v>
      </c>
      <c r="L83" s="4">
        <f t="shared" si="27"/>
        <v>1047082.2713076924</v>
      </c>
      <c r="M83" s="4">
        <f t="shared" si="30"/>
        <v>244882.2713076924</v>
      </c>
      <c r="N83" s="22">
        <f t="shared" si="28"/>
        <v>0.30526336488119221</v>
      </c>
      <c r="O83" s="222"/>
      <c r="P83" s="8"/>
      <c r="Q83" s="223"/>
      <c r="R83" s="224"/>
      <c r="AB83" s="38">
        <v>96</v>
      </c>
      <c r="AC83" s="1" t="s">
        <v>144</v>
      </c>
      <c r="AD83" s="17">
        <f t="shared" si="31"/>
        <v>0.30127462340672073</v>
      </c>
      <c r="AE83" s="1" t="s">
        <v>143</v>
      </c>
      <c r="AF83" s="208">
        <f t="shared" si="32"/>
        <v>0.10348706411698538</v>
      </c>
    </row>
    <row r="84" spans="1:32" x14ac:dyDescent="0.25">
      <c r="H84" s="83">
        <v>81</v>
      </c>
      <c r="I84">
        <v>826000</v>
      </c>
      <c r="J84" s="5"/>
      <c r="K84" s="6">
        <f t="shared" si="22"/>
        <v>825600</v>
      </c>
      <c r="L84" s="4">
        <f t="shared" si="27"/>
        <v>1077581.2013076923</v>
      </c>
      <c r="M84" s="4">
        <f t="shared" si="30"/>
        <v>251981.20130769233</v>
      </c>
      <c r="N84" s="22">
        <f t="shared" si="28"/>
        <v>0.30520978840563512</v>
      </c>
      <c r="O84" s="222"/>
      <c r="P84" s="8"/>
      <c r="Q84" s="223"/>
      <c r="R84" s="224"/>
      <c r="AB84" s="38">
        <v>97</v>
      </c>
      <c r="AC84" s="1" t="s">
        <v>144</v>
      </c>
      <c r="AD84" s="17">
        <f t="shared" si="31"/>
        <v>0.30127462340672073</v>
      </c>
      <c r="AE84" s="1" t="s">
        <v>143</v>
      </c>
      <c r="AF84" s="208">
        <f t="shared" si="32"/>
        <v>0.10348706411698538</v>
      </c>
    </row>
    <row r="85" spans="1:32" x14ac:dyDescent="0.25">
      <c r="H85" s="83">
        <v>82</v>
      </c>
      <c r="I85">
        <v>848800</v>
      </c>
      <c r="J85" s="5"/>
      <c r="K85" s="6">
        <f t="shared" si="22"/>
        <v>848400</v>
      </c>
      <c r="L85" s="4">
        <f t="shared" si="27"/>
        <v>1107298.1074615386</v>
      </c>
      <c r="M85" s="4">
        <f t="shared" si="30"/>
        <v>258898.10746153863</v>
      </c>
      <c r="N85" s="22">
        <f t="shared" si="28"/>
        <v>0.30516042840822566</v>
      </c>
      <c r="O85" s="222"/>
      <c r="P85" s="8"/>
      <c r="Q85" s="223"/>
      <c r="R85" s="224"/>
      <c r="AB85" s="38">
        <v>98</v>
      </c>
      <c r="AC85" s="1" t="s">
        <v>144</v>
      </c>
      <c r="AD85" s="17">
        <f t="shared" si="31"/>
        <v>0.30127462340672073</v>
      </c>
      <c r="AE85" s="1" t="s">
        <v>143</v>
      </c>
      <c r="AF85" s="208">
        <f t="shared" si="32"/>
        <v>0.10348706411698538</v>
      </c>
    </row>
    <row r="86" spans="1:32" x14ac:dyDescent="0.25">
      <c r="H86" s="83">
        <v>83</v>
      </c>
      <c r="I86">
        <v>871300</v>
      </c>
      <c r="J86" s="5"/>
      <c r="K86" s="6">
        <f t="shared" si="22"/>
        <v>870900</v>
      </c>
      <c r="L86" s="4">
        <f t="shared" si="27"/>
        <v>1136624.0016923076</v>
      </c>
      <c r="M86" s="4">
        <f t="shared" si="30"/>
        <v>265724.00169230765</v>
      </c>
      <c r="N86" s="22">
        <f t="shared" si="28"/>
        <v>0.30511425156999383</v>
      </c>
      <c r="O86" s="222"/>
      <c r="P86" s="8"/>
      <c r="Q86" s="223"/>
      <c r="R86" s="224"/>
      <c r="AB86" s="38">
        <v>99</v>
      </c>
      <c r="AC86" s="1" t="s">
        <v>144</v>
      </c>
      <c r="AD86" s="17">
        <f t="shared" si="31"/>
        <v>0.30127462340672073</v>
      </c>
      <c r="AE86" s="1" t="s">
        <v>143</v>
      </c>
      <c r="AF86" s="208">
        <f t="shared" si="32"/>
        <v>0.10348706411698538</v>
      </c>
    </row>
    <row r="87" spans="1:32" x14ac:dyDescent="0.25">
      <c r="H87" s="85">
        <v>84</v>
      </c>
      <c r="I87">
        <v>893900</v>
      </c>
      <c r="J87" s="5"/>
      <c r="K87" s="6">
        <f t="shared" ref="K87:K150" si="33">I87-400</f>
        <v>893500</v>
      </c>
      <c r="L87" s="4">
        <f t="shared" si="27"/>
        <v>1166080.2332307694</v>
      </c>
      <c r="M87" s="4">
        <f t="shared" si="30"/>
        <v>272580.2332307694</v>
      </c>
      <c r="N87" s="22">
        <f t="shared" si="28"/>
        <v>0.30507021066678164</v>
      </c>
      <c r="O87" s="222"/>
      <c r="P87" s="8"/>
      <c r="Q87" s="223"/>
      <c r="R87" s="224"/>
      <c r="AB87" s="38">
        <v>100</v>
      </c>
      <c r="AC87" s="1" t="s">
        <v>144</v>
      </c>
      <c r="AD87" s="17">
        <f t="shared" si="31"/>
        <v>0.30127462340672073</v>
      </c>
      <c r="AE87" s="1" t="s">
        <v>143</v>
      </c>
      <c r="AF87" s="208">
        <f t="shared" si="32"/>
        <v>0.10348706411698538</v>
      </c>
    </row>
    <row r="88" spans="1:32" ht="15.75" thickBot="1" x14ac:dyDescent="0.3">
      <c r="H88" s="85">
        <v>85</v>
      </c>
      <c r="I88">
        <v>922300</v>
      </c>
      <c r="J88" s="5"/>
      <c r="K88" s="6">
        <f t="shared" si="33"/>
        <v>921900</v>
      </c>
      <c r="L88" s="4">
        <f t="shared" si="27"/>
        <v>1203096.0286153846</v>
      </c>
      <c r="M88" s="4">
        <f t="shared" si="30"/>
        <v>281196.0286153846</v>
      </c>
      <c r="N88" s="22">
        <f t="shared" si="28"/>
        <v>0.30501792885929557</v>
      </c>
      <c r="O88" s="222"/>
      <c r="P88" s="8"/>
      <c r="Q88" s="223"/>
      <c r="R88" s="224"/>
      <c r="AB88" s="61">
        <v>101</v>
      </c>
      <c r="AC88" s="62" t="s">
        <v>144</v>
      </c>
      <c r="AD88" s="209">
        <f t="shared" si="31"/>
        <v>0.30127462340672073</v>
      </c>
      <c r="AE88" s="62" t="s">
        <v>143</v>
      </c>
      <c r="AF88" s="210">
        <f t="shared" si="32"/>
        <v>0.10348706411698538</v>
      </c>
    </row>
    <row r="89" spans="1:32" x14ac:dyDescent="0.25">
      <c r="H89" s="85">
        <v>86</v>
      </c>
      <c r="I89">
        <v>950400</v>
      </c>
      <c r="J89" s="5"/>
      <c r="K89" s="6">
        <f t="shared" si="33"/>
        <v>950000</v>
      </c>
      <c r="L89" s="4">
        <f t="shared" si="27"/>
        <v>1239720.8120769232</v>
      </c>
      <c r="M89" s="4">
        <f t="shared" si="30"/>
        <v>289720.8120769232</v>
      </c>
      <c r="N89" s="22">
        <f t="shared" si="28"/>
        <v>0.30496927587044548</v>
      </c>
      <c r="O89" s="222"/>
      <c r="P89" s="8"/>
      <c r="Q89" s="223"/>
      <c r="R89" s="224"/>
      <c r="AB89" t="s">
        <v>411</v>
      </c>
      <c r="AC89" s="1" t="str">
        <f t="shared" ref="AC89:AC152" si="34">AC5</f>
        <v>Forsker 7</v>
      </c>
      <c r="AD89" s="17">
        <f>VLOOKUP(AC89,$S$21:$X$27,6,FALSE)</f>
        <v>1.03</v>
      </c>
      <c r="AE89" s="1" t="str">
        <f t="shared" ref="AE89:AE152" si="35">AE5</f>
        <v>Tekn./Adm. 7</v>
      </c>
      <c r="AF89" s="208">
        <f>VLOOKUP(AE89,$S$14:$X$20,6,FALSE)</f>
        <v>0.27</v>
      </c>
    </row>
    <row r="90" spans="1:32" x14ac:dyDescent="0.25">
      <c r="H90" s="85">
        <v>87</v>
      </c>
      <c r="I90">
        <v>979000</v>
      </c>
      <c r="J90" s="5"/>
      <c r="K90" s="6">
        <f t="shared" si="33"/>
        <v>978600</v>
      </c>
      <c r="L90" s="4">
        <f t="shared" si="27"/>
        <v>1276997.2820769232</v>
      </c>
      <c r="M90" s="4">
        <f t="shared" si="30"/>
        <v>298397.28207692318</v>
      </c>
      <c r="N90" s="22">
        <f t="shared" si="28"/>
        <v>0.30492262627930022</v>
      </c>
      <c r="O90" s="222"/>
      <c r="P90" s="8"/>
      <c r="Q90" s="223"/>
      <c r="R90" s="224"/>
      <c r="AB90" t="s">
        <v>225</v>
      </c>
      <c r="AC90" s="1" t="str">
        <f t="shared" si="34"/>
        <v>Forsker 7</v>
      </c>
      <c r="AD90" s="17">
        <f t="shared" ref="AD90:AD153" si="36">VLOOKUP(AC90,$S$21:$X$27,6,FALSE)</f>
        <v>1.03</v>
      </c>
      <c r="AE90" s="1" t="str">
        <f t="shared" si="35"/>
        <v>Tekn./Adm. 7</v>
      </c>
      <c r="AF90" s="208">
        <f t="shared" ref="AF90:AF153" si="37">VLOOKUP(AE90,$S$14:$X$20,6,FALSE)</f>
        <v>0.27</v>
      </c>
    </row>
    <row r="91" spans="1:32" x14ac:dyDescent="0.25">
      <c r="H91" s="85">
        <v>88</v>
      </c>
      <c r="I91">
        <v>1001400</v>
      </c>
      <c r="J91" s="5"/>
      <c r="K91" s="6">
        <f t="shared" si="33"/>
        <v>1001000</v>
      </c>
      <c r="L91" s="4">
        <f t="shared" si="27"/>
        <v>1306192.8389999999</v>
      </c>
      <c r="M91" s="4">
        <f t="shared" si="30"/>
        <v>305192.83899999992</v>
      </c>
      <c r="N91" s="22">
        <f t="shared" si="28"/>
        <v>0.30488795104895094</v>
      </c>
      <c r="O91" s="222"/>
      <c r="P91" s="8"/>
      <c r="Q91" s="223"/>
      <c r="R91" s="224"/>
      <c r="AB91" t="s">
        <v>226</v>
      </c>
      <c r="AC91" s="1" t="str">
        <f t="shared" si="34"/>
        <v>Forsker 7</v>
      </c>
      <c r="AD91" s="17">
        <f t="shared" si="36"/>
        <v>1.03</v>
      </c>
      <c r="AE91" s="1" t="str">
        <f t="shared" si="35"/>
        <v>Tekn./Adm. 7</v>
      </c>
      <c r="AF91" s="208">
        <f t="shared" si="37"/>
        <v>0.27</v>
      </c>
    </row>
    <row r="92" spans="1:32" x14ac:dyDescent="0.25">
      <c r="H92" s="86">
        <v>89</v>
      </c>
      <c r="I92">
        <v>1024000</v>
      </c>
      <c r="J92" s="5"/>
      <c r="K92" s="6">
        <f t="shared" si="33"/>
        <v>1023600</v>
      </c>
      <c r="L92" s="4">
        <f t="shared" si="27"/>
        <v>1335649.0705384617</v>
      </c>
      <c r="M92" s="4">
        <f t="shared" si="30"/>
        <v>312049.07053846167</v>
      </c>
      <c r="N92" s="22">
        <f t="shared" si="28"/>
        <v>0.30485450423843463</v>
      </c>
      <c r="O92" s="222"/>
      <c r="P92" s="8"/>
      <c r="Q92" s="223"/>
      <c r="R92" s="224"/>
      <c r="AB92" t="s">
        <v>227</v>
      </c>
      <c r="AC92" s="1" t="str">
        <f t="shared" si="34"/>
        <v>Forsker 7</v>
      </c>
      <c r="AD92" s="17">
        <f t="shared" si="36"/>
        <v>1.03</v>
      </c>
      <c r="AE92" s="1" t="str">
        <f t="shared" si="35"/>
        <v>Tekn./Adm. 7</v>
      </c>
      <c r="AF92" s="208">
        <f t="shared" si="37"/>
        <v>0.27</v>
      </c>
    </row>
    <row r="93" spans="1:32" x14ac:dyDescent="0.25">
      <c r="H93" s="86">
        <v>90</v>
      </c>
      <c r="I93">
        <v>1046600</v>
      </c>
      <c r="J93" s="5"/>
      <c r="K93" s="6">
        <f t="shared" si="33"/>
        <v>1046200</v>
      </c>
      <c r="L93" s="4">
        <f t="shared" si="27"/>
        <v>1365105.3020769232</v>
      </c>
      <c r="M93" s="4">
        <f t="shared" si="30"/>
        <v>318905.3020769232</v>
      </c>
      <c r="N93" s="22">
        <f t="shared" si="28"/>
        <v>0.30482250246312675</v>
      </c>
      <c r="O93" s="222"/>
      <c r="P93" s="8"/>
      <c r="Q93" s="223"/>
      <c r="R93" s="224"/>
      <c r="AB93" t="s">
        <v>228</v>
      </c>
      <c r="AC93" s="1" t="str">
        <f t="shared" si="34"/>
        <v>Forsker 7</v>
      </c>
      <c r="AD93" s="17">
        <f t="shared" si="36"/>
        <v>1.03</v>
      </c>
      <c r="AE93" s="1" t="str">
        <f t="shared" si="35"/>
        <v>Tekn./Adm. 7</v>
      </c>
      <c r="AF93" s="208">
        <f t="shared" si="37"/>
        <v>0.27</v>
      </c>
    </row>
    <row r="94" spans="1:32" x14ac:dyDescent="0.25">
      <c r="H94" s="86">
        <v>91</v>
      </c>
      <c r="I94">
        <v>1069500</v>
      </c>
      <c r="J94" s="5"/>
      <c r="K94" s="6">
        <f t="shared" si="33"/>
        <v>1069100</v>
      </c>
      <c r="L94" s="4">
        <f t="shared" si="27"/>
        <v>1394952.5455384618</v>
      </c>
      <c r="M94" s="4">
        <f t="shared" si="30"/>
        <v>325852.54553846177</v>
      </c>
      <c r="N94" s="22">
        <f t="shared" si="28"/>
        <v>0.30479145593345969</v>
      </c>
      <c r="O94" s="222"/>
      <c r="P94" s="8"/>
      <c r="Q94" s="223"/>
      <c r="R94" s="224"/>
      <c r="AB94" t="s">
        <v>229</v>
      </c>
      <c r="AC94" s="1" t="str">
        <f t="shared" si="34"/>
        <v>Forsker 7</v>
      </c>
      <c r="AD94" s="17">
        <f t="shared" si="36"/>
        <v>1.03</v>
      </c>
      <c r="AE94" s="1" t="str">
        <f t="shared" si="35"/>
        <v>Tekn./Adm. 7</v>
      </c>
      <c r="AF94" s="208">
        <f t="shared" si="37"/>
        <v>0.27</v>
      </c>
    </row>
    <row r="95" spans="1:32" x14ac:dyDescent="0.25">
      <c r="H95" s="87">
        <v>92</v>
      </c>
      <c r="I95">
        <v>1091900</v>
      </c>
      <c r="J95" s="5"/>
      <c r="K95" s="6">
        <f t="shared" si="33"/>
        <v>1091500</v>
      </c>
      <c r="L95" s="4">
        <f t="shared" si="27"/>
        <v>1424148.1024615385</v>
      </c>
      <c r="M95" s="4">
        <f t="shared" si="30"/>
        <v>332648.10246153851</v>
      </c>
      <c r="N95" s="22">
        <f t="shared" si="28"/>
        <v>0.30476234765143245</v>
      </c>
      <c r="O95" s="222"/>
      <c r="P95" s="8"/>
      <c r="Q95" s="223"/>
      <c r="R95" s="224"/>
      <c r="AB95" t="s">
        <v>230</v>
      </c>
      <c r="AC95" s="1" t="str">
        <f t="shared" si="34"/>
        <v>Forsker 7</v>
      </c>
      <c r="AD95" s="17">
        <f t="shared" si="36"/>
        <v>1.03</v>
      </c>
      <c r="AE95" s="1" t="str">
        <f t="shared" si="35"/>
        <v>Tekn./Adm. 7</v>
      </c>
      <c r="AF95" s="208">
        <f t="shared" si="37"/>
        <v>0.27</v>
      </c>
    </row>
    <row r="96" spans="1:32" x14ac:dyDescent="0.25">
      <c r="H96" s="87">
        <v>93</v>
      </c>
      <c r="I96">
        <v>1114600</v>
      </c>
      <c r="J96" s="5"/>
      <c r="K96" s="6">
        <f t="shared" si="33"/>
        <v>1114200</v>
      </c>
      <c r="L96" s="4">
        <f t="shared" si="27"/>
        <v>1453734.6713076925</v>
      </c>
      <c r="M96" s="4">
        <f t="shared" si="30"/>
        <v>339534.67130769254</v>
      </c>
      <c r="N96" s="22">
        <f t="shared" si="28"/>
        <v>0.30473404353589351</v>
      </c>
      <c r="O96" s="222"/>
      <c r="P96" s="8"/>
      <c r="Q96" s="223"/>
      <c r="R96" s="224"/>
      <c r="AB96" t="s">
        <v>231</v>
      </c>
      <c r="AC96" s="1" t="str">
        <f t="shared" si="34"/>
        <v>Forsker 7</v>
      </c>
      <c r="AD96" s="17">
        <f t="shared" si="36"/>
        <v>1.03</v>
      </c>
      <c r="AE96" s="1" t="str">
        <f t="shared" si="35"/>
        <v>Tekn./Adm. 7</v>
      </c>
      <c r="AF96" s="208">
        <f t="shared" si="37"/>
        <v>0.27</v>
      </c>
    </row>
    <row r="97" spans="8:32" x14ac:dyDescent="0.25">
      <c r="H97" s="87">
        <v>94</v>
      </c>
      <c r="I97">
        <v>1137100</v>
      </c>
      <c r="J97" s="5"/>
      <c r="K97" s="6">
        <f t="shared" si="33"/>
        <v>1136700</v>
      </c>
      <c r="L97" s="4">
        <f t="shared" si="27"/>
        <v>1483060.5655384618</v>
      </c>
      <c r="M97" s="4">
        <f t="shared" si="30"/>
        <v>346360.56553846179</v>
      </c>
      <c r="N97" s="22">
        <f t="shared" si="28"/>
        <v>0.30470710437095255</v>
      </c>
      <c r="O97" s="222"/>
      <c r="P97" s="8"/>
      <c r="Q97" s="223"/>
      <c r="R97" s="224"/>
      <c r="AB97" t="s">
        <v>232</v>
      </c>
      <c r="AC97" s="1" t="str">
        <f t="shared" si="34"/>
        <v>Forsker 7</v>
      </c>
      <c r="AD97" s="17">
        <f t="shared" si="36"/>
        <v>1.03</v>
      </c>
      <c r="AE97" s="1" t="str">
        <f t="shared" si="35"/>
        <v>Tekn./Adm. 7</v>
      </c>
      <c r="AF97" s="208">
        <f t="shared" si="37"/>
        <v>0.27</v>
      </c>
    </row>
    <row r="98" spans="8:32" x14ac:dyDescent="0.25">
      <c r="H98" s="87">
        <v>95</v>
      </c>
      <c r="I98">
        <v>1159900</v>
      </c>
      <c r="J98" s="5"/>
      <c r="K98" s="6">
        <f t="shared" si="33"/>
        <v>1159500</v>
      </c>
      <c r="L98" s="4">
        <f t="shared" si="27"/>
        <v>1512777.4716923076</v>
      </c>
      <c r="M98" s="4">
        <f t="shared" si="30"/>
        <v>353277.47169230762</v>
      </c>
      <c r="N98" s="22">
        <f t="shared" si="28"/>
        <v>0.30468087252462928</v>
      </c>
      <c r="O98" s="222"/>
      <c r="P98" s="8"/>
      <c r="Q98" s="223"/>
      <c r="R98" s="224"/>
      <c r="AB98" t="s">
        <v>233</v>
      </c>
      <c r="AC98" s="1" t="str">
        <f t="shared" si="34"/>
        <v>Forsker 7</v>
      </c>
      <c r="AD98" s="17">
        <f t="shared" si="36"/>
        <v>1.03</v>
      </c>
      <c r="AE98" s="1" t="str">
        <f t="shared" si="35"/>
        <v>Tekn./Adm. 7</v>
      </c>
      <c r="AF98" s="208">
        <f t="shared" si="37"/>
        <v>0.27</v>
      </c>
    </row>
    <row r="99" spans="8:32" x14ac:dyDescent="0.25">
      <c r="H99" s="87">
        <v>96</v>
      </c>
      <c r="I99">
        <v>1182000</v>
      </c>
      <c r="J99" s="5"/>
      <c r="K99" s="6">
        <f t="shared" si="33"/>
        <v>1181600</v>
      </c>
      <c r="L99" s="4">
        <f t="shared" si="27"/>
        <v>1541582.016692308</v>
      </c>
      <c r="M99" s="4">
        <f t="shared" si="30"/>
        <v>359982.01669230801</v>
      </c>
      <c r="N99" s="22">
        <f t="shared" si="28"/>
        <v>0.30465641223113404</v>
      </c>
      <c r="O99" s="222"/>
      <c r="P99" s="8"/>
      <c r="Q99" s="223"/>
      <c r="R99" s="224"/>
      <c r="AB99" t="s">
        <v>234</v>
      </c>
      <c r="AC99" s="1" t="str">
        <f t="shared" si="34"/>
        <v>Forsker 7</v>
      </c>
      <c r="AD99" s="17">
        <f t="shared" si="36"/>
        <v>1.03</v>
      </c>
      <c r="AE99" s="1" t="str">
        <f t="shared" si="35"/>
        <v>Tekn./Adm. 7</v>
      </c>
      <c r="AF99" s="208">
        <f t="shared" si="37"/>
        <v>0.27</v>
      </c>
    </row>
    <row r="100" spans="8:32" x14ac:dyDescent="0.25">
      <c r="H100" s="87">
        <v>97</v>
      </c>
      <c r="I100">
        <v>1204200</v>
      </c>
      <c r="J100" s="5"/>
      <c r="K100" s="6">
        <f t="shared" si="33"/>
        <v>1203800</v>
      </c>
      <c r="L100" s="4">
        <f t="shared" si="27"/>
        <v>1570516.899</v>
      </c>
      <c r="M100" s="4">
        <f t="shared" si="30"/>
        <v>366716.89899999998</v>
      </c>
      <c r="N100" s="22">
        <f t="shared" si="28"/>
        <v>0.30463274547266989</v>
      </c>
      <c r="O100" s="222"/>
      <c r="P100" s="8"/>
      <c r="Q100" s="223"/>
      <c r="R100" s="224"/>
      <c r="AB100" t="s">
        <v>235</v>
      </c>
      <c r="AC100" s="1" t="str">
        <f t="shared" si="34"/>
        <v>Forsker 7</v>
      </c>
      <c r="AD100" s="17">
        <f t="shared" si="36"/>
        <v>1.03</v>
      </c>
      <c r="AE100" s="1" t="str">
        <f t="shared" si="35"/>
        <v>Tekn./Adm. 7</v>
      </c>
      <c r="AF100" s="208">
        <f t="shared" si="37"/>
        <v>0.27</v>
      </c>
    </row>
    <row r="101" spans="8:32" x14ac:dyDescent="0.25">
      <c r="H101" s="87">
        <v>98</v>
      </c>
      <c r="I101">
        <v>1226400</v>
      </c>
      <c r="J101" s="5"/>
      <c r="K101" s="6">
        <f t="shared" si="33"/>
        <v>1226000</v>
      </c>
      <c r="L101" s="4">
        <f t="shared" si="27"/>
        <v>1599451.7813076926</v>
      </c>
      <c r="M101" s="4">
        <f t="shared" si="30"/>
        <v>373451.78130769264</v>
      </c>
      <c r="N101" s="22">
        <f t="shared" si="28"/>
        <v>0.30460993581377865</v>
      </c>
      <c r="O101" s="222"/>
      <c r="P101" s="8"/>
      <c r="Q101" s="223"/>
      <c r="R101" s="224"/>
      <c r="AB101" t="s">
        <v>236</v>
      </c>
      <c r="AC101" s="1" t="str">
        <f t="shared" si="34"/>
        <v>Forsker 7</v>
      </c>
      <c r="AD101" s="17">
        <f t="shared" si="36"/>
        <v>1.03</v>
      </c>
      <c r="AE101" s="1" t="str">
        <f t="shared" si="35"/>
        <v>Tekn./Adm. 7</v>
      </c>
      <c r="AF101" s="208">
        <f t="shared" si="37"/>
        <v>0.27</v>
      </c>
    </row>
    <row r="102" spans="8:32" x14ac:dyDescent="0.25">
      <c r="H102" s="87">
        <v>99</v>
      </c>
      <c r="I102">
        <v>1247700</v>
      </c>
      <c r="J102" s="5"/>
      <c r="K102" s="6">
        <f t="shared" si="33"/>
        <v>1247300</v>
      </c>
      <c r="L102" s="4">
        <f t="shared" si="27"/>
        <v>1627213.6278461539</v>
      </c>
      <c r="M102" s="4">
        <f t="shared" si="30"/>
        <v>379913.62784615392</v>
      </c>
      <c r="N102" s="22">
        <f t="shared" si="28"/>
        <v>0.30458881411541244</v>
      </c>
      <c r="O102" s="222"/>
      <c r="P102" s="8"/>
      <c r="Q102" s="223"/>
      <c r="R102" s="224"/>
      <c r="AB102" t="s">
        <v>237</v>
      </c>
      <c r="AC102" s="1" t="str">
        <f t="shared" si="34"/>
        <v>Forsker 7</v>
      </c>
      <c r="AD102" s="17">
        <f t="shared" si="36"/>
        <v>1.03</v>
      </c>
      <c r="AE102" s="1" t="str">
        <f t="shared" si="35"/>
        <v>Tekn./Adm. 7</v>
      </c>
      <c r="AF102" s="208">
        <f t="shared" si="37"/>
        <v>0.27</v>
      </c>
    </row>
    <row r="103" spans="8:32" x14ac:dyDescent="0.25">
      <c r="H103" s="87">
        <v>100</v>
      </c>
      <c r="I103">
        <v>1268800</v>
      </c>
      <c r="J103" s="5"/>
      <c r="K103" s="6">
        <f t="shared" si="33"/>
        <v>1268400</v>
      </c>
      <c r="L103" s="4">
        <f t="shared" si="27"/>
        <v>1654714.7997692309</v>
      </c>
      <c r="M103" s="4">
        <f t="shared" si="30"/>
        <v>386314.79976923089</v>
      </c>
      <c r="N103" s="22">
        <f t="shared" si="28"/>
        <v>0.30456859016811011</v>
      </c>
      <c r="O103" s="222"/>
      <c r="P103" s="8"/>
      <c r="Q103" s="223"/>
      <c r="R103" s="224"/>
      <c r="AB103" t="s">
        <v>238</v>
      </c>
      <c r="AC103" s="1" t="str">
        <f t="shared" si="34"/>
        <v>Forsker 7</v>
      </c>
      <c r="AD103" s="17">
        <f t="shared" si="36"/>
        <v>1.03</v>
      </c>
      <c r="AE103" s="1" t="str">
        <f t="shared" si="35"/>
        <v>Tekn./Adm. 7</v>
      </c>
      <c r="AF103" s="208">
        <f t="shared" si="37"/>
        <v>0.27</v>
      </c>
    </row>
    <row r="104" spans="8:32" x14ac:dyDescent="0.25">
      <c r="H104" s="87">
        <v>101</v>
      </c>
      <c r="I104">
        <v>1290000</v>
      </c>
      <c r="J104" s="5"/>
      <c r="K104" s="6">
        <f t="shared" si="33"/>
        <v>1289600</v>
      </c>
      <c r="L104" s="4">
        <f t="shared" si="27"/>
        <v>1682346.3090000004</v>
      </c>
      <c r="M104" s="4">
        <f t="shared" si="30"/>
        <v>392746.30900000036</v>
      </c>
      <c r="N104" s="22">
        <f t="shared" si="28"/>
        <v>0.3045489368796529</v>
      </c>
      <c r="O104" s="225"/>
      <c r="P104" s="8"/>
      <c r="Q104" s="226"/>
      <c r="R104" s="227"/>
      <c r="AB104" t="s">
        <v>239</v>
      </c>
      <c r="AC104" s="1" t="str">
        <f t="shared" si="34"/>
        <v>Forsker 7</v>
      </c>
      <c r="AD104" s="17">
        <f t="shared" si="36"/>
        <v>1.03</v>
      </c>
      <c r="AE104" s="1" t="str">
        <f t="shared" si="35"/>
        <v>Tekn./Adm. 7</v>
      </c>
      <c r="AF104" s="208">
        <f t="shared" si="37"/>
        <v>0.27</v>
      </c>
    </row>
    <row r="105" spans="8:32" x14ac:dyDescent="0.25">
      <c r="H105" s="87" t="s">
        <v>225</v>
      </c>
      <c r="I105" s="221">
        <f>I22</f>
        <v>296300</v>
      </c>
      <c r="J105" s="5"/>
      <c r="K105" s="6">
        <f t="shared" si="33"/>
        <v>295900</v>
      </c>
      <c r="L105" s="4">
        <f>((K105*1.12+K105*0.13+1329)*1.141)</f>
        <v>423543.76400000008</v>
      </c>
      <c r="M105" s="4">
        <f t="shared" si="30"/>
        <v>127643.76400000008</v>
      </c>
      <c r="N105" s="22">
        <f t="shared" si="28"/>
        <v>0.43137466711726963</v>
      </c>
      <c r="O105" s="7"/>
      <c r="P105" s="8"/>
      <c r="Q105" s="84"/>
      <c r="AB105" t="s">
        <v>240</v>
      </c>
      <c r="AC105" s="1" t="str">
        <f t="shared" si="34"/>
        <v>Forsker 7</v>
      </c>
      <c r="AD105" s="17">
        <f t="shared" si="36"/>
        <v>1.03</v>
      </c>
      <c r="AE105" s="1" t="str">
        <f t="shared" si="35"/>
        <v>Tekn./Adm. 7</v>
      </c>
      <c r="AF105" s="208">
        <f t="shared" si="37"/>
        <v>0.27</v>
      </c>
    </row>
    <row r="106" spans="8:32" x14ac:dyDescent="0.25">
      <c r="H106" s="87" t="s">
        <v>226</v>
      </c>
      <c r="I106" s="221">
        <f t="shared" ref="I106:I169" si="38">I23</f>
        <v>299800</v>
      </c>
      <c r="J106" s="5"/>
      <c r="K106" s="6">
        <f t="shared" si="33"/>
        <v>299400</v>
      </c>
      <c r="L106" s="4">
        <f t="shared" ref="L106:L169" si="39">((K106*1.12+K106*0.13+1329)*1.141)</f>
        <v>428535.63900000008</v>
      </c>
      <c r="M106" s="4">
        <f t="shared" si="30"/>
        <v>129135.63900000008</v>
      </c>
      <c r="N106" s="22">
        <f t="shared" si="28"/>
        <v>0.43131475951903836</v>
      </c>
      <c r="O106" s="7"/>
      <c r="P106" s="8"/>
      <c r="Q106" s="84"/>
      <c r="AB106" t="s">
        <v>241</v>
      </c>
      <c r="AC106" s="1" t="str">
        <f t="shared" si="34"/>
        <v>Forsker 7</v>
      </c>
      <c r="AD106" s="17">
        <f t="shared" si="36"/>
        <v>1.03</v>
      </c>
      <c r="AE106" s="1" t="str">
        <f t="shared" si="35"/>
        <v>Tekn./Adm. 7</v>
      </c>
      <c r="AF106" s="208">
        <f t="shared" si="37"/>
        <v>0.27</v>
      </c>
    </row>
    <row r="107" spans="8:32" x14ac:dyDescent="0.25">
      <c r="H107" s="87" t="s">
        <v>227</v>
      </c>
      <c r="I107" s="221">
        <f t="shared" si="38"/>
        <v>303500</v>
      </c>
      <c r="J107" s="5"/>
      <c r="K107" s="6">
        <f t="shared" si="33"/>
        <v>303100</v>
      </c>
      <c r="L107" s="4">
        <f t="shared" si="39"/>
        <v>433812.76400000008</v>
      </c>
      <c r="M107" s="4">
        <f t="shared" si="30"/>
        <v>130712.76400000008</v>
      </c>
      <c r="N107" s="22">
        <f t="shared" si="28"/>
        <v>0.43125293302540441</v>
      </c>
      <c r="O107" s="7"/>
      <c r="P107" s="8"/>
      <c r="Q107" s="84"/>
      <c r="AB107" t="s">
        <v>242</v>
      </c>
      <c r="AC107" s="1" t="str">
        <f t="shared" si="34"/>
        <v>Forsker 7</v>
      </c>
      <c r="AD107" s="17">
        <f t="shared" si="36"/>
        <v>1.03</v>
      </c>
      <c r="AE107" s="1" t="str">
        <f t="shared" si="35"/>
        <v>Tekn./Adm. 7</v>
      </c>
      <c r="AF107" s="208">
        <f t="shared" si="37"/>
        <v>0.27</v>
      </c>
    </row>
    <row r="108" spans="8:32" x14ac:dyDescent="0.25">
      <c r="H108" s="87" t="s">
        <v>228</v>
      </c>
      <c r="I108" s="221">
        <f t="shared" si="38"/>
        <v>307100</v>
      </c>
      <c r="J108" s="5"/>
      <c r="K108" s="6">
        <f t="shared" si="33"/>
        <v>306700</v>
      </c>
      <c r="L108" s="4">
        <f t="shared" si="39"/>
        <v>438947.26400000008</v>
      </c>
      <c r="M108" s="4">
        <f t="shared" si="30"/>
        <v>132247.26400000008</v>
      </c>
      <c r="N108" s="22">
        <f t="shared" si="28"/>
        <v>0.43119420932507363</v>
      </c>
      <c r="O108" s="7"/>
      <c r="P108" s="8"/>
      <c r="Q108" s="84"/>
      <c r="AB108" t="s">
        <v>243</v>
      </c>
      <c r="AC108" s="1" t="str">
        <f t="shared" si="34"/>
        <v>Forsker 7</v>
      </c>
      <c r="AD108" s="17">
        <f t="shared" si="36"/>
        <v>1.03</v>
      </c>
      <c r="AE108" s="1" t="str">
        <f t="shared" si="35"/>
        <v>Tekn./Adm. 7</v>
      </c>
      <c r="AF108" s="208">
        <f t="shared" si="37"/>
        <v>0.27</v>
      </c>
    </row>
    <row r="109" spans="8:32" x14ac:dyDescent="0.25">
      <c r="H109" s="87" t="s">
        <v>229</v>
      </c>
      <c r="I109" s="221">
        <f t="shared" si="38"/>
        <v>310900</v>
      </c>
      <c r="J109" s="5"/>
      <c r="K109" s="6">
        <f t="shared" si="33"/>
        <v>310500</v>
      </c>
      <c r="L109" s="4">
        <f t="shared" si="39"/>
        <v>444367.01400000008</v>
      </c>
      <c r="M109" s="4">
        <f t="shared" si="30"/>
        <v>133867.01400000008</v>
      </c>
      <c r="N109" s="22">
        <f t="shared" si="28"/>
        <v>0.43113370048309207</v>
      </c>
      <c r="O109" s="7"/>
      <c r="P109" s="8"/>
      <c r="Q109" s="84"/>
      <c r="AB109" t="s">
        <v>244</v>
      </c>
      <c r="AC109" s="1" t="str">
        <f t="shared" si="34"/>
        <v>Forsker 7</v>
      </c>
      <c r="AD109" s="17">
        <f t="shared" si="36"/>
        <v>1.03</v>
      </c>
      <c r="AE109" s="1" t="str">
        <f t="shared" si="35"/>
        <v>Tekn./Adm. 7</v>
      </c>
      <c r="AF109" s="208">
        <f t="shared" si="37"/>
        <v>0.27</v>
      </c>
    </row>
    <row r="110" spans="8:32" x14ac:dyDescent="0.25">
      <c r="H110" s="87" t="s">
        <v>230</v>
      </c>
      <c r="I110" s="221">
        <f t="shared" si="38"/>
        <v>314800</v>
      </c>
      <c r="J110" s="5"/>
      <c r="K110" s="6">
        <f t="shared" si="33"/>
        <v>314400</v>
      </c>
      <c r="L110" s="4">
        <f t="shared" si="39"/>
        <v>449929.38900000008</v>
      </c>
      <c r="M110" s="4">
        <f t="shared" si="30"/>
        <v>135529.38900000008</v>
      </c>
      <c r="N110" s="22">
        <f t="shared" si="28"/>
        <v>0.4310731202290079</v>
      </c>
      <c r="O110" s="7"/>
      <c r="P110" s="8"/>
      <c r="Q110" s="84"/>
      <c r="AB110" t="s">
        <v>245</v>
      </c>
      <c r="AC110" s="1" t="str">
        <f t="shared" si="34"/>
        <v>Forsker 7</v>
      </c>
      <c r="AD110" s="17">
        <f t="shared" si="36"/>
        <v>1.03</v>
      </c>
      <c r="AE110" s="1" t="str">
        <f t="shared" si="35"/>
        <v>Tekn./Adm. 7</v>
      </c>
      <c r="AF110" s="208">
        <f t="shared" si="37"/>
        <v>0.27</v>
      </c>
    </row>
    <row r="111" spans="8:32" x14ac:dyDescent="0.25">
      <c r="H111" s="87" t="s">
        <v>231</v>
      </c>
      <c r="I111" s="221">
        <f t="shared" si="38"/>
        <v>318900</v>
      </c>
      <c r="J111" s="5"/>
      <c r="K111" s="6">
        <f t="shared" si="33"/>
        <v>318500</v>
      </c>
      <c r="L111" s="4">
        <f t="shared" si="39"/>
        <v>455777.01400000008</v>
      </c>
      <c r="M111" s="4">
        <f t="shared" si="30"/>
        <v>137277.01400000008</v>
      </c>
      <c r="N111" s="22">
        <f t="shared" si="28"/>
        <v>0.43101103296703325</v>
      </c>
      <c r="O111" s="7"/>
      <c r="P111" s="8"/>
      <c r="Q111" s="84"/>
      <c r="AB111" t="s">
        <v>246</v>
      </c>
      <c r="AC111" s="1" t="str">
        <f t="shared" si="34"/>
        <v>Forsker 7</v>
      </c>
      <c r="AD111" s="17">
        <f t="shared" si="36"/>
        <v>1.03</v>
      </c>
      <c r="AE111" s="1" t="str">
        <f t="shared" si="35"/>
        <v>Tekn./Adm. 7</v>
      </c>
      <c r="AF111" s="208">
        <f t="shared" si="37"/>
        <v>0.27</v>
      </c>
    </row>
    <row r="112" spans="8:32" x14ac:dyDescent="0.25">
      <c r="H112" s="87" t="s">
        <v>232</v>
      </c>
      <c r="I112" s="221">
        <f t="shared" si="38"/>
        <v>323000</v>
      </c>
      <c r="J112" s="5"/>
      <c r="K112" s="6">
        <f t="shared" si="33"/>
        <v>322600</v>
      </c>
      <c r="L112" s="4">
        <f t="shared" si="39"/>
        <v>461624.63900000008</v>
      </c>
      <c r="M112" s="4">
        <f t="shared" si="30"/>
        <v>139024.63900000008</v>
      </c>
      <c r="N112" s="22">
        <f t="shared" si="28"/>
        <v>0.43095052386856814</v>
      </c>
      <c r="O112" s="7"/>
      <c r="P112" s="8"/>
      <c r="Q112" s="84"/>
      <c r="AB112" t="s">
        <v>247</v>
      </c>
      <c r="AC112" s="1" t="str">
        <f t="shared" si="34"/>
        <v>Forsker 7</v>
      </c>
      <c r="AD112" s="17">
        <f t="shared" si="36"/>
        <v>1.03</v>
      </c>
      <c r="AE112" s="1" t="str">
        <f t="shared" si="35"/>
        <v>Tekn./Adm. 7</v>
      </c>
      <c r="AF112" s="208">
        <f t="shared" si="37"/>
        <v>0.27</v>
      </c>
    </row>
    <row r="113" spans="8:32" x14ac:dyDescent="0.25">
      <c r="H113" s="87" t="s">
        <v>233</v>
      </c>
      <c r="I113" s="221">
        <f t="shared" si="38"/>
        <v>326900</v>
      </c>
      <c r="J113" s="5"/>
      <c r="K113" s="6">
        <f t="shared" si="33"/>
        <v>326500</v>
      </c>
      <c r="L113" s="4">
        <f t="shared" si="39"/>
        <v>467187.01400000008</v>
      </c>
      <c r="M113" s="4">
        <f t="shared" si="30"/>
        <v>140687.01400000008</v>
      </c>
      <c r="N113" s="22">
        <f t="shared" si="28"/>
        <v>0.430894376722818</v>
      </c>
      <c r="O113" s="7"/>
      <c r="P113" s="8"/>
      <c r="Q113" s="84"/>
      <c r="AB113" t="s">
        <v>248</v>
      </c>
      <c r="AC113" s="1" t="str">
        <f t="shared" si="34"/>
        <v>Forsker 7</v>
      </c>
      <c r="AD113" s="17">
        <f t="shared" si="36"/>
        <v>1.03</v>
      </c>
      <c r="AE113" s="1" t="str">
        <f t="shared" si="35"/>
        <v>Tekn./Adm. 7</v>
      </c>
      <c r="AF113" s="208">
        <f t="shared" si="37"/>
        <v>0.27</v>
      </c>
    </row>
    <row r="114" spans="8:32" x14ac:dyDescent="0.25">
      <c r="H114" s="87" t="s">
        <v>234</v>
      </c>
      <c r="I114" s="221">
        <f t="shared" si="38"/>
        <v>330800</v>
      </c>
      <c r="J114" s="5"/>
      <c r="K114" s="6">
        <f t="shared" si="33"/>
        <v>330400</v>
      </c>
      <c r="L114" s="4">
        <f t="shared" si="39"/>
        <v>472749.38900000008</v>
      </c>
      <c r="M114" s="4">
        <f t="shared" si="30"/>
        <v>142349.38900000008</v>
      </c>
      <c r="N114" s="22">
        <f t="shared" si="28"/>
        <v>0.43083955508474603</v>
      </c>
      <c r="O114" s="7"/>
      <c r="P114" s="8"/>
      <c r="Q114" s="84"/>
      <c r="AB114" t="s">
        <v>249</v>
      </c>
      <c r="AC114" s="1" t="str">
        <f t="shared" si="34"/>
        <v>Forsker 7</v>
      </c>
      <c r="AD114" s="17">
        <f t="shared" si="36"/>
        <v>1.03</v>
      </c>
      <c r="AE114" s="1" t="str">
        <f t="shared" si="35"/>
        <v>Tekn./Adm. 7</v>
      </c>
      <c r="AF114" s="208">
        <f t="shared" si="37"/>
        <v>0.27</v>
      </c>
    </row>
    <row r="115" spans="8:32" x14ac:dyDescent="0.25">
      <c r="H115" s="87" t="s">
        <v>235</v>
      </c>
      <c r="I115" s="221">
        <f t="shared" si="38"/>
        <v>334500</v>
      </c>
      <c r="J115" s="5"/>
      <c r="K115" s="6">
        <f t="shared" si="33"/>
        <v>334100</v>
      </c>
      <c r="L115" s="4">
        <f t="shared" si="39"/>
        <v>478026.51400000008</v>
      </c>
      <c r="M115" s="4">
        <f t="shared" si="30"/>
        <v>143926.51400000008</v>
      </c>
      <c r="N115" s="22">
        <f t="shared" si="28"/>
        <v>0.430788727925771</v>
      </c>
      <c r="O115" s="7"/>
      <c r="P115" s="8"/>
      <c r="Q115" s="84"/>
      <c r="AB115" t="s">
        <v>250</v>
      </c>
      <c r="AC115" s="1" t="str">
        <f t="shared" si="34"/>
        <v>Forsker 7</v>
      </c>
      <c r="AD115" s="17">
        <f t="shared" si="36"/>
        <v>1.03</v>
      </c>
      <c r="AE115" s="1" t="str">
        <f t="shared" si="35"/>
        <v>Tekn./Adm. 7</v>
      </c>
      <c r="AF115" s="208">
        <f t="shared" si="37"/>
        <v>0.27</v>
      </c>
    </row>
    <row r="116" spans="8:32" x14ac:dyDescent="0.25">
      <c r="H116" s="87" t="s">
        <v>236</v>
      </c>
      <c r="I116" s="221">
        <f t="shared" si="38"/>
        <v>338400</v>
      </c>
      <c r="J116" s="5"/>
      <c r="K116" s="6">
        <f t="shared" si="33"/>
        <v>338000</v>
      </c>
      <c r="L116" s="4">
        <f t="shared" si="39"/>
        <v>483588.88900000008</v>
      </c>
      <c r="M116" s="4">
        <f t="shared" si="30"/>
        <v>145588.88900000008</v>
      </c>
      <c r="N116" s="22">
        <f t="shared" si="28"/>
        <v>0.43073635798816595</v>
      </c>
      <c r="O116" s="7"/>
      <c r="P116" s="8"/>
      <c r="Q116" s="84"/>
      <c r="AB116" t="s">
        <v>251</v>
      </c>
      <c r="AC116" s="1" t="str">
        <f t="shared" si="34"/>
        <v>Forsker 7</v>
      </c>
      <c r="AD116" s="17">
        <f t="shared" si="36"/>
        <v>1.03</v>
      </c>
      <c r="AE116" s="1" t="str">
        <f t="shared" si="35"/>
        <v>Tekn./Adm. 7</v>
      </c>
      <c r="AF116" s="208">
        <f t="shared" si="37"/>
        <v>0.27</v>
      </c>
    </row>
    <row r="117" spans="8:32" x14ac:dyDescent="0.25">
      <c r="H117" s="87" t="s">
        <v>237</v>
      </c>
      <c r="I117" s="221">
        <f t="shared" si="38"/>
        <v>342000</v>
      </c>
      <c r="J117" s="5"/>
      <c r="K117" s="6">
        <f t="shared" si="33"/>
        <v>341600</v>
      </c>
      <c r="L117" s="4">
        <f t="shared" si="39"/>
        <v>488723.38900000008</v>
      </c>
      <c r="M117" s="4">
        <f t="shared" si="30"/>
        <v>147123.38900000008</v>
      </c>
      <c r="N117" s="22">
        <f t="shared" si="28"/>
        <v>0.43068907786885269</v>
      </c>
      <c r="O117" s="7"/>
      <c r="P117" s="8"/>
      <c r="Q117" s="84"/>
      <c r="AB117" t="s">
        <v>252</v>
      </c>
      <c r="AC117" s="1" t="str">
        <f t="shared" si="34"/>
        <v>Forsker 7</v>
      </c>
      <c r="AD117" s="17">
        <f t="shared" si="36"/>
        <v>1.03</v>
      </c>
      <c r="AE117" s="1" t="str">
        <f t="shared" si="35"/>
        <v>Tekn./Adm. 7</v>
      </c>
      <c r="AF117" s="208">
        <f t="shared" si="37"/>
        <v>0.27</v>
      </c>
    </row>
    <row r="118" spans="8:32" x14ac:dyDescent="0.25">
      <c r="H118" s="87" t="s">
        <v>238</v>
      </c>
      <c r="I118" s="221">
        <f t="shared" si="38"/>
        <v>346000</v>
      </c>
      <c r="J118" s="5"/>
      <c r="K118" s="6">
        <f t="shared" si="33"/>
        <v>345600</v>
      </c>
      <c r="L118" s="4">
        <f t="shared" si="39"/>
        <v>494428.38900000008</v>
      </c>
      <c r="M118" s="4">
        <f t="shared" si="30"/>
        <v>148828.38900000008</v>
      </c>
      <c r="N118" s="22">
        <f t="shared" si="28"/>
        <v>0.43063769965277804</v>
      </c>
      <c r="O118" s="7"/>
      <c r="P118" s="8"/>
      <c r="Q118" s="84"/>
      <c r="AB118" t="s">
        <v>253</v>
      </c>
      <c r="AC118" s="1" t="str">
        <f t="shared" si="34"/>
        <v>Forsker 7</v>
      </c>
      <c r="AD118" s="17">
        <f t="shared" si="36"/>
        <v>1.03</v>
      </c>
      <c r="AE118" s="1" t="str">
        <f t="shared" si="35"/>
        <v>Tekn./Adm. 7</v>
      </c>
      <c r="AF118" s="208">
        <f t="shared" si="37"/>
        <v>0.27</v>
      </c>
    </row>
    <row r="119" spans="8:32" x14ac:dyDescent="0.25">
      <c r="H119" s="87" t="s">
        <v>239</v>
      </c>
      <c r="I119" s="221">
        <f t="shared" si="38"/>
        <v>349800</v>
      </c>
      <c r="J119" s="5"/>
      <c r="K119" s="6">
        <f t="shared" si="33"/>
        <v>349400</v>
      </c>
      <c r="L119" s="4">
        <f t="shared" si="39"/>
        <v>499848.13900000008</v>
      </c>
      <c r="M119" s="4">
        <f t="shared" si="30"/>
        <v>150448.13900000008</v>
      </c>
      <c r="N119" s="22">
        <f t="shared" si="28"/>
        <v>0.43058997996565562</v>
      </c>
      <c r="O119" s="7"/>
      <c r="P119" s="8"/>
      <c r="Q119" s="84"/>
      <c r="AB119" t="s">
        <v>254</v>
      </c>
      <c r="AC119" s="1" t="str">
        <f t="shared" si="34"/>
        <v>Forsker 6</v>
      </c>
      <c r="AD119" s="17">
        <f t="shared" si="36"/>
        <v>0.71</v>
      </c>
      <c r="AE119" s="1" t="str">
        <f t="shared" si="35"/>
        <v>Tekn./Adm. 6</v>
      </c>
      <c r="AF119" s="208">
        <f t="shared" si="37"/>
        <v>0.23</v>
      </c>
    </row>
    <row r="120" spans="8:32" x14ac:dyDescent="0.25">
      <c r="H120" s="87" t="s">
        <v>240</v>
      </c>
      <c r="I120" s="221">
        <f t="shared" si="38"/>
        <v>353900</v>
      </c>
      <c r="J120" s="5"/>
      <c r="K120" s="6">
        <f t="shared" si="33"/>
        <v>353500</v>
      </c>
      <c r="L120" s="4">
        <f t="shared" si="39"/>
        <v>505695.76400000008</v>
      </c>
      <c r="M120" s="4">
        <f t="shared" si="30"/>
        <v>152195.76400000008</v>
      </c>
      <c r="N120" s="22">
        <f t="shared" si="28"/>
        <v>0.43053964356435664</v>
      </c>
      <c r="O120" s="7"/>
      <c r="P120" s="8"/>
      <c r="Q120" s="84"/>
      <c r="AB120" t="s">
        <v>255</v>
      </c>
      <c r="AC120" s="1" t="str">
        <f t="shared" si="34"/>
        <v>Forsker 6</v>
      </c>
      <c r="AD120" s="17">
        <f t="shared" si="36"/>
        <v>0.71</v>
      </c>
      <c r="AE120" s="1" t="str">
        <f t="shared" si="35"/>
        <v>Tekn./Adm. 6</v>
      </c>
      <c r="AF120" s="208">
        <f t="shared" si="37"/>
        <v>0.23</v>
      </c>
    </row>
    <row r="121" spans="8:32" x14ac:dyDescent="0.25">
      <c r="H121" s="87" t="s">
        <v>241</v>
      </c>
      <c r="I121" s="221">
        <f t="shared" si="38"/>
        <v>358000</v>
      </c>
      <c r="J121" s="5"/>
      <c r="K121" s="6">
        <f t="shared" si="33"/>
        <v>357600</v>
      </c>
      <c r="L121" s="4">
        <f t="shared" si="39"/>
        <v>511543.38900000008</v>
      </c>
      <c r="M121" s="4">
        <f t="shared" si="30"/>
        <v>153943.38900000008</v>
      </c>
      <c r="N121" s="22">
        <f t="shared" si="28"/>
        <v>0.43049046140939623</v>
      </c>
      <c r="O121" s="7"/>
      <c r="P121" s="8"/>
      <c r="Q121" s="84"/>
      <c r="AB121" t="s">
        <v>256</v>
      </c>
      <c r="AC121" s="1" t="str">
        <f t="shared" si="34"/>
        <v>Forsker 6</v>
      </c>
      <c r="AD121" s="17">
        <f t="shared" si="36"/>
        <v>0.71</v>
      </c>
      <c r="AE121" s="1" t="str">
        <f t="shared" si="35"/>
        <v>Tekn./Adm. 6</v>
      </c>
      <c r="AF121" s="208">
        <f t="shared" si="37"/>
        <v>0.23</v>
      </c>
    </row>
    <row r="122" spans="8:32" x14ac:dyDescent="0.25">
      <c r="H122" s="87" t="s">
        <v>242</v>
      </c>
      <c r="I122" s="221">
        <f t="shared" si="38"/>
        <v>362200</v>
      </c>
      <c r="J122" s="5"/>
      <c r="K122" s="6">
        <f t="shared" si="33"/>
        <v>361800</v>
      </c>
      <c r="L122" s="4">
        <f t="shared" si="39"/>
        <v>517533.63900000008</v>
      </c>
      <c r="M122" s="4">
        <f t="shared" si="30"/>
        <v>155733.63900000008</v>
      </c>
      <c r="N122" s="22">
        <f t="shared" si="28"/>
        <v>0.43044123548922081</v>
      </c>
      <c r="O122" s="7"/>
      <c r="P122" s="8"/>
      <c r="Q122" s="84"/>
      <c r="AB122" t="s">
        <v>257</v>
      </c>
      <c r="AC122" s="1" t="str">
        <f t="shared" si="34"/>
        <v>Forsker 6</v>
      </c>
      <c r="AD122" s="17">
        <f t="shared" si="36"/>
        <v>0.71</v>
      </c>
      <c r="AE122" s="1" t="str">
        <f t="shared" si="35"/>
        <v>Tekn./Adm. 6</v>
      </c>
      <c r="AF122" s="208">
        <f t="shared" si="37"/>
        <v>0.23</v>
      </c>
    </row>
    <row r="123" spans="8:32" x14ac:dyDescent="0.25">
      <c r="H123" s="87" t="s">
        <v>243</v>
      </c>
      <c r="I123" s="221">
        <f t="shared" si="38"/>
        <v>366800</v>
      </c>
      <c r="J123" s="5"/>
      <c r="K123" s="6">
        <f t="shared" si="33"/>
        <v>366400</v>
      </c>
      <c r="L123" s="4">
        <f t="shared" si="39"/>
        <v>524094.38900000008</v>
      </c>
      <c r="M123" s="4">
        <f t="shared" si="30"/>
        <v>157694.38900000008</v>
      </c>
      <c r="N123" s="22">
        <f t="shared" si="28"/>
        <v>0.43038861626637576</v>
      </c>
      <c r="O123" s="7"/>
      <c r="P123" s="8"/>
      <c r="Q123" s="84"/>
      <c r="AB123" t="s">
        <v>258</v>
      </c>
      <c r="AC123" s="1" t="str">
        <f t="shared" si="34"/>
        <v>Forsker 6</v>
      </c>
      <c r="AD123" s="17">
        <f t="shared" si="36"/>
        <v>0.71</v>
      </c>
      <c r="AE123" s="1" t="str">
        <f t="shared" si="35"/>
        <v>Tekn./Adm. 6</v>
      </c>
      <c r="AF123" s="208">
        <f t="shared" si="37"/>
        <v>0.23</v>
      </c>
    </row>
    <row r="124" spans="8:32" x14ac:dyDescent="0.25">
      <c r="H124" s="87" t="s">
        <v>244</v>
      </c>
      <c r="I124" s="221">
        <f t="shared" si="38"/>
        <v>371500</v>
      </c>
      <c r="J124" s="5"/>
      <c r="K124" s="6">
        <f t="shared" si="33"/>
        <v>371100</v>
      </c>
      <c r="L124" s="4">
        <f t="shared" si="39"/>
        <v>530797.76400000008</v>
      </c>
      <c r="M124" s="4">
        <f t="shared" si="30"/>
        <v>159697.76400000008</v>
      </c>
      <c r="N124" s="22">
        <f t="shared" si="28"/>
        <v>0.43033620048504467</v>
      </c>
      <c r="O124" s="7"/>
      <c r="P124" s="8"/>
      <c r="Q124" s="84"/>
      <c r="AB124" t="s">
        <v>259</v>
      </c>
      <c r="AC124" s="1" t="str">
        <f t="shared" si="34"/>
        <v>Forsker 6</v>
      </c>
      <c r="AD124" s="17">
        <f t="shared" si="36"/>
        <v>0.71</v>
      </c>
      <c r="AE124" s="1" t="str">
        <f t="shared" si="35"/>
        <v>Tekn./Adm. 6</v>
      </c>
      <c r="AF124" s="208">
        <f t="shared" si="37"/>
        <v>0.23</v>
      </c>
    </row>
    <row r="125" spans="8:32" x14ac:dyDescent="0.25">
      <c r="H125" s="87" t="s">
        <v>245</v>
      </c>
      <c r="I125" s="221">
        <f t="shared" si="38"/>
        <v>376100</v>
      </c>
      <c r="J125" s="5"/>
      <c r="K125" s="6">
        <f t="shared" si="33"/>
        <v>375700</v>
      </c>
      <c r="L125" s="4">
        <f t="shared" si="39"/>
        <v>537358.51400000008</v>
      </c>
      <c r="M125" s="4">
        <f t="shared" si="30"/>
        <v>161658.51400000008</v>
      </c>
      <c r="N125" s="22">
        <f t="shared" si="28"/>
        <v>0.43028616981634304</v>
      </c>
      <c r="O125" s="7"/>
      <c r="P125" s="8"/>
      <c r="Q125" s="84"/>
      <c r="AB125" t="s">
        <v>260</v>
      </c>
      <c r="AC125" s="1" t="str">
        <f t="shared" si="34"/>
        <v>Forsker 6</v>
      </c>
      <c r="AD125" s="17">
        <f t="shared" si="36"/>
        <v>0.71</v>
      </c>
      <c r="AE125" s="1" t="str">
        <f t="shared" si="35"/>
        <v>Tekn./Adm. 6</v>
      </c>
      <c r="AF125" s="208">
        <f t="shared" si="37"/>
        <v>0.23</v>
      </c>
    </row>
    <row r="126" spans="8:32" x14ac:dyDescent="0.25">
      <c r="H126" s="87" t="s">
        <v>246</v>
      </c>
      <c r="I126" s="221">
        <f t="shared" si="38"/>
        <v>381100</v>
      </c>
      <c r="J126" s="5"/>
      <c r="K126" s="6">
        <f t="shared" si="33"/>
        <v>380700</v>
      </c>
      <c r="L126" s="4">
        <f t="shared" si="39"/>
        <v>544489.76400000008</v>
      </c>
      <c r="M126" s="4">
        <f t="shared" si="30"/>
        <v>163789.76400000008</v>
      </c>
      <c r="N126" s="22">
        <f t="shared" si="28"/>
        <v>0.43023315996847933</v>
      </c>
      <c r="O126" s="7"/>
      <c r="P126" s="8"/>
      <c r="Q126" s="84"/>
      <c r="AB126" t="s">
        <v>261</v>
      </c>
      <c r="AC126" s="1" t="str">
        <f t="shared" si="34"/>
        <v>Forsker 6</v>
      </c>
      <c r="AD126" s="17">
        <f t="shared" si="36"/>
        <v>0.71</v>
      </c>
      <c r="AE126" s="1" t="str">
        <f t="shared" si="35"/>
        <v>Tekn./Adm. 6</v>
      </c>
      <c r="AF126" s="208">
        <f t="shared" si="37"/>
        <v>0.23</v>
      </c>
    </row>
    <row r="127" spans="8:32" x14ac:dyDescent="0.25">
      <c r="H127" s="87" t="s">
        <v>247</v>
      </c>
      <c r="I127" s="221">
        <f t="shared" si="38"/>
        <v>386100</v>
      </c>
      <c r="J127" s="5"/>
      <c r="K127" s="6">
        <f t="shared" si="33"/>
        <v>385700</v>
      </c>
      <c r="L127" s="4">
        <f t="shared" si="39"/>
        <v>551621.01400000008</v>
      </c>
      <c r="M127" s="4">
        <f t="shared" si="30"/>
        <v>165921.01400000008</v>
      </c>
      <c r="N127" s="22">
        <f t="shared" si="28"/>
        <v>0.43018152450090763</v>
      </c>
      <c r="O127" s="7"/>
      <c r="P127" s="8"/>
      <c r="Q127" s="84"/>
      <c r="AB127" t="s">
        <v>262</v>
      </c>
      <c r="AC127" s="1" t="str">
        <f t="shared" si="34"/>
        <v>Forsker 5</v>
      </c>
      <c r="AD127" s="17">
        <f t="shared" si="36"/>
        <v>0.62</v>
      </c>
      <c r="AE127" s="1" t="str">
        <f t="shared" si="35"/>
        <v>Tekn./Adm. 5</v>
      </c>
      <c r="AF127" s="208">
        <f t="shared" si="37"/>
        <v>0.21</v>
      </c>
    </row>
    <row r="128" spans="8:32" x14ac:dyDescent="0.25">
      <c r="H128" s="87" t="s">
        <v>248</v>
      </c>
      <c r="I128" s="221">
        <f t="shared" si="38"/>
        <v>391800</v>
      </c>
      <c r="J128" s="5"/>
      <c r="K128" s="6">
        <f t="shared" si="33"/>
        <v>391400</v>
      </c>
      <c r="L128" s="4">
        <f t="shared" si="39"/>
        <v>559750.63900000008</v>
      </c>
      <c r="M128" s="4">
        <f t="shared" si="30"/>
        <v>168350.63900000008</v>
      </c>
      <c r="N128" s="22">
        <f t="shared" si="28"/>
        <v>0.43012426928972941</v>
      </c>
      <c r="O128" s="7"/>
      <c r="P128" s="8"/>
      <c r="Q128" s="84"/>
      <c r="AB128" t="s">
        <v>263</v>
      </c>
      <c r="AC128" s="1" t="str">
        <f t="shared" si="34"/>
        <v>Forsker 5</v>
      </c>
      <c r="AD128" s="17">
        <f t="shared" si="36"/>
        <v>0.62</v>
      </c>
      <c r="AE128" s="1" t="str">
        <f t="shared" si="35"/>
        <v>Tekn./Adm. 5</v>
      </c>
      <c r="AF128" s="208">
        <f t="shared" si="37"/>
        <v>0.21</v>
      </c>
    </row>
    <row r="129" spans="8:32" x14ac:dyDescent="0.25">
      <c r="H129" s="87" t="s">
        <v>249</v>
      </c>
      <c r="I129" s="221">
        <f t="shared" si="38"/>
        <v>397200</v>
      </c>
      <c r="J129" s="5"/>
      <c r="K129" s="6">
        <f t="shared" si="33"/>
        <v>396800</v>
      </c>
      <c r="L129" s="4">
        <f t="shared" si="39"/>
        <v>567452.38900000008</v>
      </c>
      <c r="M129" s="4">
        <f t="shared" si="30"/>
        <v>170652.38900000008</v>
      </c>
      <c r="N129" s="22">
        <f t="shared" si="28"/>
        <v>0.43007154485887117</v>
      </c>
      <c r="O129" s="7"/>
      <c r="P129" s="8"/>
      <c r="Q129" s="84"/>
      <c r="AB129" t="s">
        <v>264</v>
      </c>
      <c r="AC129" s="1" t="str">
        <f t="shared" si="34"/>
        <v>Forsker 5</v>
      </c>
      <c r="AD129" s="17">
        <f t="shared" si="36"/>
        <v>0.62</v>
      </c>
      <c r="AE129" s="1" t="str">
        <f t="shared" si="35"/>
        <v>Tekn./Adm. 5</v>
      </c>
      <c r="AF129" s="208">
        <f t="shared" si="37"/>
        <v>0.21</v>
      </c>
    </row>
    <row r="130" spans="8:32" x14ac:dyDescent="0.25">
      <c r="H130" s="87" t="s">
        <v>250</v>
      </c>
      <c r="I130" s="221">
        <f t="shared" si="38"/>
        <v>403200</v>
      </c>
      <c r="J130" s="5"/>
      <c r="K130" s="6">
        <f t="shared" si="33"/>
        <v>402800</v>
      </c>
      <c r="L130" s="4">
        <f t="shared" si="39"/>
        <v>576009.88900000008</v>
      </c>
      <c r="M130" s="4">
        <f t="shared" si="30"/>
        <v>173209.88900000008</v>
      </c>
      <c r="N130" s="22">
        <f t="shared" si="28"/>
        <v>0.43001462015888797</v>
      </c>
      <c r="O130" s="7"/>
      <c r="P130" s="8"/>
      <c r="Q130" s="84"/>
      <c r="AB130" t="s">
        <v>265</v>
      </c>
      <c r="AC130" s="1" t="str">
        <f t="shared" si="34"/>
        <v>Forsker 5</v>
      </c>
      <c r="AD130" s="17">
        <f t="shared" si="36"/>
        <v>0.62</v>
      </c>
      <c r="AE130" s="1" t="str">
        <f t="shared" si="35"/>
        <v>Tekn./Adm. 5</v>
      </c>
      <c r="AF130" s="208">
        <f t="shared" si="37"/>
        <v>0.21</v>
      </c>
    </row>
    <row r="131" spans="8:32" x14ac:dyDescent="0.25">
      <c r="H131" s="87" t="s">
        <v>251</v>
      </c>
      <c r="I131" s="221">
        <f t="shared" si="38"/>
        <v>409100</v>
      </c>
      <c r="J131" s="5"/>
      <c r="K131" s="6">
        <f t="shared" si="33"/>
        <v>408700</v>
      </c>
      <c r="L131" s="4">
        <f t="shared" si="39"/>
        <v>584424.76400000008</v>
      </c>
      <c r="M131" s="4">
        <f t="shared" si="30"/>
        <v>175724.76400000008</v>
      </c>
      <c r="N131" s="22">
        <f t="shared" si="28"/>
        <v>0.4299602740396381</v>
      </c>
      <c r="O131" s="7"/>
      <c r="P131" s="8"/>
      <c r="Q131" s="84"/>
      <c r="AB131" t="s">
        <v>266</v>
      </c>
      <c r="AC131" s="1" t="str">
        <f t="shared" si="34"/>
        <v>Forsker 5</v>
      </c>
      <c r="AD131" s="17">
        <f t="shared" si="36"/>
        <v>0.62</v>
      </c>
      <c r="AE131" s="1" t="str">
        <f t="shared" si="35"/>
        <v>Tekn./Adm. 5</v>
      </c>
      <c r="AF131" s="208">
        <f t="shared" si="37"/>
        <v>0.21</v>
      </c>
    </row>
    <row r="132" spans="8:32" x14ac:dyDescent="0.25">
      <c r="H132" s="87" t="s">
        <v>252</v>
      </c>
      <c r="I132" s="221">
        <f t="shared" si="38"/>
        <v>415100</v>
      </c>
      <c r="J132" s="5"/>
      <c r="K132" s="6">
        <f t="shared" si="33"/>
        <v>414700</v>
      </c>
      <c r="L132" s="4">
        <f t="shared" si="39"/>
        <v>592982.26400000008</v>
      </c>
      <c r="M132" s="4">
        <f t="shared" si="30"/>
        <v>178282.26400000008</v>
      </c>
      <c r="N132" s="22">
        <f t="shared" si="28"/>
        <v>0.42990659271762738</v>
      </c>
      <c r="O132" s="7"/>
      <c r="P132" s="8"/>
      <c r="Q132" s="84"/>
      <c r="AB132" t="s">
        <v>267</v>
      </c>
      <c r="AC132" s="1" t="str">
        <f t="shared" si="34"/>
        <v>Forsker 5</v>
      </c>
      <c r="AD132" s="17">
        <f t="shared" si="36"/>
        <v>0.62</v>
      </c>
      <c r="AE132" s="1" t="str">
        <f t="shared" si="35"/>
        <v>Tekn./Adm. 5</v>
      </c>
      <c r="AF132" s="208">
        <f t="shared" si="37"/>
        <v>0.21</v>
      </c>
    </row>
    <row r="133" spans="8:32" x14ac:dyDescent="0.25">
      <c r="H133" s="87" t="s">
        <v>253</v>
      </c>
      <c r="I133" s="221">
        <f t="shared" si="38"/>
        <v>421700</v>
      </c>
      <c r="J133" s="5"/>
      <c r="K133" s="6">
        <f t="shared" si="33"/>
        <v>421300</v>
      </c>
      <c r="L133" s="4">
        <f t="shared" si="39"/>
        <v>602395.51399999997</v>
      </c>
      <c r="M133" s="4">
        <f t="shared" si="30"/>
        <v>181095.51399999997</v>
      </c>
      <c r="N133" s="22">
        <f t="shared" ref="N133:N187" si="40">M133/K133</f>
        <v>0.42984930928079745</v>
      </c>
      <c r="O133" s="7"/>
      <c r="P133" s="8"/>
      <c r="Q133" s="84"/>
      <c r="AB133" t="s">
        <v>268</v>
      </c>
      <c r="AC133" s="1" t="str">
        <f t="shared" si="34"/>
        <v>Forsker 5</v>
      </c>
      <c r="AD133" s="17">
        <f t="shared" si="36"/>
        <v>0.62</v>
      </c>
      <c r="AE133" s="1" t="str">
        <f t="shared" si="35"/>
        <v>Tekn./Adm. 5</v>
      </c>
      <c r="AF133" s="208">
        <f t="shared" si="37"/>
        <v>0.21</v>
      </c>
    </row>
    <row r="134" spans="8:32" x14ac:dyDescent="0.25">
      <c r="H134" s="87" t="s">
        <v>254</v>
      </c>
      <c r="I134" s="221">
        <f t="shared" si="38"/>
        <v>428500</v>
      </c>
      <c r="J134" s="5"/>
      <c r="K134" s="6">
        <f t="shared" si="33"/>
        <v>428100</v>
      </c>
      <c r="L134" s="4">
        <f t="shared" si="39"/>
        <v>612094.01399999997</v>
      </c>
      <c r="M134" s="4">
        <f t="shared" ref="M134:M187" si="41">L134-K134</f>
        <v>183994.01399999997</v>
      </c>
      <c r="N134" s="22">
        <f t="shared" si="40"/>
        <v>0.42979213735108612</v>
      </c>
      <c r="O134" s="7"/>
      <c r="P134" s="8"/>
      <c r="Q134" s="84"/>
      <c r="AB134" t="s">
        <v>269</v>
      </c>
      <c r="AC134" s="1" t="str">
        <f t="shared" si="34"/>
        <v>Forsker 4</v>
      </c>
      <c r="AD134" s="17">
        <f t="shared" si="36"/>
        <v>0.55000000000000004</v>
      </c>
      <c r="AE134" s="1" t="str">
        <f t="shared" si="35"/>
        <v>Tekn./Adm. 4</v>
      </c>
      <c r="AF134" s="208">
        <f t="shared" si="37"/>
        <v>0.18</v>
      </c>
    </row>
    <row r="135" spans="8:32" x14ac:dyDescent="0.25">
      <c r="H135" s="87" t="s">
        <v>255</v>
      </c>
      <c r="I135" s="221">
        <f t="shared" si="38"/>
        <v>435500</v>
      </c>
      <c r="J135" s="5"/>
      <c r="K135" s="6">
        <f t="shared" si="33"/>
        <v>435100</v>
      </c>
      <c r="L135" s="4">
        <f t="shared" si="39"/>
        <v>622077.76399999997</v>
      </c>
      <c r="M135" s="4">
        <f t="shared" si="41"/>
        <v>186977.76399999997</v>
      </c>
      <c r="N135" s="22">
        <f t="shared" si="40"/>
        <v>0.42973515054010564</v>
      </c>
      <c r="O135" s="7"/>
      <c r="P135" s="8"/>
      <c r="Q135" s="84"/>
      <c r="AB135" t="s">
        <v>270</v>
      </c>
      <c r="AC135" s="1" t="str">
        <f t="shared" si="34"/>
        <v>Forsker 4</v>
      </c>
      <c r="AD135" s="17">
        <f t="shared" si="36"/>
        <v>0.55000000000000004</v>
      </c>
      <c r="AE135" s="1" t="str">
        <f t="shared" si="35"/>
        <v>Tekn./Adm. 4</v>
      </c>
      <c r="AF135" s="208">
        <f t="shared" si="37"/>
        <v>0.18</v>
      </c>
    </row>
    <row r="136" spans="8:32" x14ac:dyDescent="0.25">
      <c r="H136" s="87" t="s">
        <v>256</v>
      </c>
      <c r="I136" s="221">
        <f t="shared" si="38"/>
        <v>442400</v>
      </c>
      <c r="J136" s="5"/>
      <c r="K136" s="6">
        <f t="shared" si="33"/>
        <v>442000</v>
      </c>
      <c r="L136" s="4">
        <f t="shared" si="39"/>
        <v>631918.88899999997</v>
      </c>
      <c r="M136" s="4">
        <f t="shared" si="41"/>
        <v>189918.88899999997</v>
      </c>
      <c r="N136" s="22">
        <f t="shared" si="40"/>
        <v>0.42968074434389131</v>
      </c>
      <c r="O136" s="7"/>
      <c r="P136" s="8"/>
      <c r="Q136" s="84"/>
      <c r="AB136" t="s">
        <v>271</v>
      </c>
      <c r="AC136" s="1" t="str">
        <f t="shared" si="34"/>
        <v>Forsker 4</v>
      </c>
      <c r="AD136" s="17">
        <f t="shared" si="36"/>
        <v>0.55000000000000004</v>
      </c>
      <c r="AE136" s="1" t="str">
        <f t="shared" si="35"/>
        <v>Tekn./Adm. 4</v>
      </c>
      <c r="AF136" s="208">
        <f t="shared" si="37"/>
        <v>0.18</v>
      </c>
    </row>
    <row r="137" spans="8:32" x14ac:dyDescent="0.25">
      <c r="H137" s="87" t="s">
        <v>257</v>
      </c>
      <c r="I137" s="221">
        <f t="shared" si="38"/>
        <v>449400</v>
      </c>
      <c r="J137" s="5"/>
      <c r="K137" s="6">
        <f t="shared" si="33"/>
        <v>449000</v>
      </c>
      <c r="L137" s="4">
        <f t="shared" si="39"/>
        <v>641902.63899999997</v>
      </c>
      <c r="M137" s="4">
        <f t="shared" si="41"/>
        <v>192902.63899999997</v>
      </c>
      <c r="N137" s="22">
        <f t="shared" si="40"/>
        <v>0.42962725835189303</v>
      </c>
      <c r="O137" s="7"/>
      <c r="P137" s="8"/>
      <c r="Q137" s="84"/>
      <c r="AB137" t="s">
        <v>272</v>
      </c>
      <c r="AC137" s="1" t="str">
        <f t="shared" si="34"/>
        <v>Forsker 4</v>
      </c>
      <c r="AD137" s="17">
        <f t="shared" si="36"/>
        <v>0.55000000000000004</v>
      </c>
      <c r="AE137" s="1" t="str">
        <f t="shared" si="35"/>
        <v>Tekn./Adm. 4</v>
      </c>
      <c r="AF137" s="208">
        <f t="shared" si="37"/>
        <v>0.18</v>
      </c>
    </row>
    <row r="138" spans="8:32" x14ac:dyDescent="0.25">
      <c r="H138" s="87" t="s">
        <v>258</v>
      </c>
      <c r="I138" s="221">
        <f t="shared" si="38"/>
        <v>456900</v>
      </c>
      <c r="J138" s="5"/>
      <c r="K138" s="6">
        <f t="shared" si="33"/>
        <v>456500</v>
      </c>
      <c r="L138" s="4">
        <f t="shared" si="39"/>
        <v>652599.51399999997</v>
      </c>
      <c r="M138" s="4">
        <f t="shared" si="41"/>
        <v>196099.51399999997</v>
      </c>
      <c r="N138" s="22">
        <f t="shared" si="40"/>
        <v>0.42957177217962755</v>
      </c>
      <c r="O138" s="7"/>
      <c r="P138" s="8"/>
      <c r="Q138" s="84"/>
      <c r="AB138" t="s">
        <v>273</v>
      </c>
      <c r="AC138" s="1" t="str">
        <f t="shared" si="34"/>
        <v>Forsker 4</v>
      </c>
      <c r="AD138" s="17">
        <f t="shared" si="36"/>
        <v>0.55000000000000004</v>
      </c>
      <c r="AE138" s="1" t="str">
        <f t="shared" si="35"/>
        <v>Tekn./Adm. 4</v>
      </c>
      <c r="AF138" s="208">
        <f t="shared" si="37"/>
        <v>0.18</v>
      </c>
    </row>
    <row r="139" spans="8:32" x14ac:dyDescent="0.25">
      <c r="H139" s="87" t="s">
        <v>259</v>
      </c>
      <c r="I139" s="221">
        <f t="shared" si="38"/>
        <v>464800</v>
      </c>
      <c r="J139" s="5"/>
      <c r="K139" s="6">
        <f t="shared" si="33"/>
        <v>464400</v>
      </c>
      <c r="L139" s="4">
        <f t="shared" si="39"/>
        <v>663866.88899999997</v>
      </c>
      <c r="M139" s="4">
        <f t="shared" si="41"/>
        <v>199466.88899999997</v>
      </c>
      <c r="N139" s="22">
        <f t="shared" si="40"/>
        <v>0.42951526485788105</v>
      </c>
      <c r="O139" s="7"/>
      <c r="P139" s="8"/>
      <c r="Q139" s="84"/>
      <c r="AB139" t="s">
        <v>274</v>
      </c>
      <c r="AC139" s="1" t="str">
        <f t="shared" si="34"/>
        <v>Forsker 4</v>
      </c>
      <c r="AD139" s="17">
        <f t="shared" si="36"/>
        <v>0.55000000000000004</v>
      </c>
      <c r="AE139" s="1" t="str">
        <f t="shared" si="35"/>
        <v>Tekn./Adm. 4</v>
      </c>
      <c r="AF139" s="208">
        <f t="shared" si="37"/>
        <v>0.18</v>
      </c>
    </row>
    <row r="140" spans="8:32" x14ac:dyDescent="0.25">
      <c r="H140" s="87" t="s">
        <v>260</v>
      </c>
      <c r="I140" s="221">
        <f t="shared" si="38"/>
        <v>472300</v>
      </c>
      <c r="J140" s="5"/>
      <c r="K140" s="6">
        <f t="shared" si="33"/>
        <v>471900</v>
      </c>
      <c r="L140" s="4">
        <f t="shared" si="39"/>
        <v>674563.76399999997</v>
      </c>
      <c r="M140" s="4">
        <f t="shared" si="41"/>
        <v>202663.76399999997</v>
      </c>
      <c r="N140" s="22">
        <f t="shared" si="40"/>
        <v>0.42946336935791474</v>
      </c>
      <c r="O140" s="7"/>
      <c r="P140" s="8"/>
      <c r="Q140" s="84"/>
      <c r="AB140" t="s">
        <v>275</v>
      </c>
      <c r="AC140" s="1" t="str">
        <f t="shared" si="34"/>
        <v>Forsker 4</v>
      </c>
      <c r="AD140" s="17">
        <f t="shared" si="36"/>
        <v>0.55000000000000004</v>
      </c>
      <c r="AE140" s="1" t="str">
        <f t="shared" si="35"/>
        <v>Tekn./Adm. 4</v>
      </c>
      <c r="AF140" s="208">
        <f t="shared" si="37"/>
        <v>0.18</v>
      </c>
    </row>
    <row r="141" spans="8:32" x14ac:dyDescent="0.25">
      <c r="H141" s="87" t="s">
        <v>261</v>
      </c>
      <c r="I141" s="221">
        <f t="shared" si="38"/>
        <v>480600</v>
      </c>
      <c r="J141" s="5"/>
      <c r="K141" s="6">
        <f t="shared" si="33"/>
        <v>480200</v>
      </c>
      <c r="L141" s="4">
        <f t="shared" si="39"/>
        <v>686401.63899999997</v>
      </c>
      <c r="M141" s="4">
        <f t="shared" si="41"/>
        <v>206201.63899999997</v>
      </c>
      <c r="N141" s="22">
        <f t="shared" si="40"/>
        <v>0.4294078279883381</v>
      </c>
      <c r="O141" s="7"/>
      <c r="P141" s="8"/>
      <c r="Q141" s="84"/>
      <c r="AB141" t="s">
        <v>276</v>
      </c>
      <c r="AC141" s="1" t="str">
        <f t="shared" si="34"/>
        <v>Forsker 3</v>
      </c>
      <c r="AD141" s="17">
        <f t="shared" si="36"/>
        <v>0.48</v>
      </c>
      <c r="AE141" s="1" t="str">
        <f t="shared" si="35"/>
        <v>Tekn./Adm. 3</v>
      </c>
      <c r="AF141" s="208">
        <f t="shared" si="37"/>
        <v>0.16</v>
      </c>
    </row>
    <row r="142" spans="8:32" x14ac:dyDescent="0.25">
      <c r="H142" s="87" t="s">
        <v>262</v>
      </c>
      <c r="I142" s="221">
        <f t="shared" si="38"/>
        <v>488500</v>
      </c>
      <c r="J142" s="5"/>
      <c r="K142" s="6">
        <f t="shared" si="33"/>
        <v>488100</v>
      </c>
      <c r="L142" s="4">
        <f t="shared" si="39"/>
        <v>697669.01399999997</v>
      </c>
      <c r="M142" s="4">
        <f t="shared" si="41"/>
        <v>209569.01399999997</v>
      </c>
      <c r="N142" s="22">
        <f t="shared" si="40"/>
        <v>0.42935671788567908</v>
      </c>
      <c r="O142" s="7"/>
      <c r="P142" s="8"/>
      <c r="Q142" s="84"/>
      <c r="AB142" t="s">
        <v>277</v>
      </c>
      <c r="AC142" s="1" t="str">
        <f t="shared" si="34"/>
        <v>Forsker 3</v>
      </c>
      <c r="AD142" s="17">
        <f t="shared" si="36"/>
        <v>0.48</v>
      </c>
      <c r="AE142" s="1" t="str">
        <f t="shared" si="35"/>
        <v>Tekn./Adm. 3</v>
      </c>
      <c r="AF142" s="208">
        <f t="shared" si="37"/>
        <v>0.16</v>
      </c>
    </row>
    <row r="143" spans="8:32" x14ac:dyDescent="0.25">
      <c r="H143" s="87" t="s">
        <v>263</v>
      </c>
      <c r="I143" s="221">
        <f t="shared" si="38"/>
        <v>497000</v>
      </c>
      <c r="J143" s="5"/>
      <c r="K143" s="6">
        <f t="shared" si="33"/>
        <v>496600</v>
      </c>
      <c r="L143" s="4">
        <f t="shared" si="39"/>
        <v>709792.13899999997</v>
      </c>
      <c r="M143" s="4">
        <f t="shared" si="41"/>
        <v>213192.13899999997</v>
      </c>
      <c r="N143" s="22">
        <f t="shared" si="40"/>
        <v>0.42930354208618599</v>
      </c>
      <c r="O143" s="7"/>
      <c r="P143" s="8"/>
      <c r="Q143" s="84"/>
      <c r="AB143" t="s">
        <v>278</v>
      </c>
      <c r="AC143" s="1" t="str">
        <f t="shared" si="34"/>
        <v>Forsker 3</v>
      </c>
      <c r="AD143" s="17">
        <f t="shared" si="36"/>
        <v>0.48</v>
      </c>
      <c r="AE143" s="1" t="str">
        <f t="shared" si="35"/>
        <v>Tekn./Adm. 3</v>
      </c>
      <c r="AF143" s="208">
        <f t="shared" si="37"/>
        <v>0.16</v>
      </c>
    </row>
    <row r="144" spans="8:32" x14ac:dyDescent="0.25">
      <c r="H144" s="87" t="s">
        <v>264</v>
      </c>
      <c r="I144" s="221">
        <f t="shared" si="38"/>
        <v>505800</v>
      </c>
      <c r="J144" s="5"/>
      <c r="K144" s="6">
        <f t="shared" si="33"/>
        <v>505400</v>
      </c>
      <c r="L144" s="4">
        <f t="shared" si="39"/>
        <v>722343.13899999997</v>
      </c>
      <c r="M144" s="4">
        <f t="shared" si="41"/>
        <v>216943.13899999997</v>
      </c>
      <c r="N144" s="22">
        <f t="shared" si="40"/>
        <v>0.42925037396121879</v>
      </c>
      <c r="O144" s="7"/>
      <c r="P144" s="8"/>
      <c r="Q144" s="84"/>
      <c r="AB144" t="s">
        <v>279</v>
      </c>
      <c r="AC144" s="1" t="str">
        <f t="shared" si="34"/>
        <v>Forsker 3</v>
      </c>
      <c r="AD144" s="17">
        <f t="shared" si="36"/>
        <v>0.48</v>
      </c>
      <c r="AE144" s="1" t="str">
        <f t="shared" si="35"/>
        <v>Tekn./Adm. 3</v>
      </c>
      <c r="AF144" s="208">
        <f t="shared" si="37"/>
        <v>0.16</v>
      </c>
    </row>
    <row r="145" spans="8:32" x14ac:dyDescent="0.25">
      <c r="H145" s="87" t="s">
        <v>265</v>
      </c>
      <c r="I145" s="221">
        <f t="shared" si="38"/>
        <v>515200</v>
      </c>
      <c r="J145" s="5"/>
      <c r="K145" s="6">
        <f t="shared" si="33"/>
        <v>514800</v>
      </c>
      <c r="L145" s="4">
        <f t="shared" si="39"/>
        <v>735749.88899999997</v>
      </c>
      <c r="M145" s="4">
        <f t="shared" si="41"/>
        <v>220949.88899999997</v>
      </c>
      <c r="N145" s="22">
        <f t="shared" si="40"/>
        <v>0.42919558857808854</v>
      </c>
      <c r="O145" s="7"/>
      <c r="P145" s="8"/>
      <c r="Q145" s="84"/>
      <c r="AB145" t="s">
        <v>280</v>
      </c>
      <c r="AC145" s="1" t="str">
        <f t="shared" si="34"/>
        <v>Forsker 3</v>
      </c>
      <c r="AD145" s="17">
        <f t="shared" si="36"/>
        <v>0.48</v>
      </c>
      <c r="AE145" s="1" t="str">
        <f t="shared" si="35"/>
        <v>Tekn./Adm. 3</v>
      </c>
      <c r="AF145" s="208">
        <f t="shared" si="37"/>
        <v>0.16</v>
      </c>
    </row>
    <row r="146" spans="8:32" x14ac:dyDescent="0.25">
      <c r="H146" s="87" t="s">
        <v>266</v>
      </c>
      <c r="I146" s="221">
        <f t="shared" si="38"/>
        <v>524200</v>
      </c>
      <c r="J146" s="5"/>
      <c r="K146" s="6">
        <f t="shared" si="33"/>
        <v>523800</v>
      </c>
      <c r="L146" s="4">
        <f t="shared" si="39"/>
        <v>748586.13899999997</v>
      </c>
      <c r="M146" s="4">
        <f t="shared" si="41"/>
        <v>224786.13899999997</v>
      </c>
      <c r="N146" s="22">
        <f t="shared" si="40"/>
        <v>0.42914497709049249</v>
      </c>
      <c r="O146" s="7"/>
      <c r="P146" s="8"/>
      <c r="Q146" s="84"/>
      <c r="AB146" t="s">
        <v>281</v>
      </c>
      <c r="AC146" s="1" t="str">
        <f t="shared" si="34"/>
        <v>Forsker 3</v>
      </c>
      <c r="AD146" s="17">
        <f t="shared" si="36"/>
        <v>0.48</v>
      </c>
      <c r="AE146" s="1" t="str">
        <f t="shared" si="35"/>
        <v>Tekn./Adm. 3</v>
      </c>
      <c r="AF146" s="208">
        <f t="shared" si="37"/>
        <v>0.16</v>
      </c>
    </row>
    <row r="147" spans="8:32" x14ac:dyDescent="0.25">
      <c r="H147" s="87" t="s">
        <v>267</v>
      </c>
      <c r="I147" s="221">
        <f t="shared" si="38"/>
        <v>534100</v>
      </c>
      <c r="J147" s="5"/>
      <c r="K147" s="6">
        <f t="shared" si="33"/>
        <v>533700</v>
      </c>
      <c r="L147" s="4">
        <f t="shared" si="39"/>
        <v>762706.01399999997</v>
      </c>
      <c r="M147" s="4">
        <f t="shared" si="41"/>
        <v>229006.01399999997</v>
      </c>
      <c r="N147" s="22">
        <f t="shared" si="40"/>
        <v>0.42909127599775149</v>
      </c>
      <c r="O147" s="7"/>
      <c r="P147" s="8"/>
      <c r="Q147" s="84"/>
      <c r="AB147" t="s">
        <v>282</v>
      </c>
      <c r="AC147" s="1" t="str">
        <f t="shared" si="34"/>
        <v>Forsker 3</v>
      </c>
      <c r="AD147" s="17">
        <f t="shared" si="36"/>
        <v>0.48</v>
      </c>
      <c r="AE147" s="1" t="str">
        <f t="shared" si="35"/>
        <v>Tekn./Adm. 3</v>
      </c>
      <c r="AF147" s="208">
        <f t="shared" si="37"/>
        <v>0.16</v>
      </c>
    </row>
    <row r="148" spans="8:32" x14ac:dyDescent="0.25">
      <c r="H148" s="87" t="s">
        <v>268</v>
      </c>
      <c r="I148" s="221">
        <f t="shared" si="38"/>
        <v>544400</v>
      </c>
      <c r="J148" s="5"/>
      <c r="K148" s="6">
        <f t="shared" si="33"/>
        <v>544000</v>
      </c>
      <c r="L148" s="4">
        <f t="shared" si="39"/>
        <v>777396.38899999997</v>
      </c>
      <c r="M148" s="4">
        <f t="shared" si="41"/>
        <v>233396.38899999997</v>
      </c>
      <c r="N148" s="22">
        <f t="shared" si="40"/>
        <v>0.4290374797794117</v>
      </c>
      <c r="O148" s="7"/>
      <c r="P148" s="8"/>
      <c r="Q148" s="84"/>
      <c r="AB148" t="s">
        <v>283</v>
      </c>
      <c r="AC148" s="1" t="str">
        <f t="shared" si="34"/>
        <v>Forsker 3</v>
      </c>
      <c r="AD148" s="17">
        <f t="shared" si="36"/>
        <v>0.48</v>
      </c>
      <c r="AE148" s="1" t="str">
        <f t="shared" si="35"/>
        <v>Tekn./Adm. 3</v>
      </c>
      <c r="AF148" s="208">
        <f t="shared" si="37"/>
        <v>0.16</v>
      </c>
    </row>
    <row r="149" spans="8:32" x14ac:dyDescent="0.25">
      <c r="H149" s="87" t="s">
        <v>269</v>
      </c>
      <c r="I149" s="221">
        <f t="shared" si="38"/>
        <v>555100</v>
      </c>
      <c r="J149" s="5"/>
      <c r="K149" s="6">
        <f t="shared" si="33"/>
        <v>554700</v>
      </c>
      <c r="L149" s="4">
        <f t="shared" si="39"/>
        <v>792657.2640000002</v>
      </c>
      <c r="M149" s="4">
        <f t="shared" si="41"/>
        <v>237957.2640000002</v>
      </c>
      <c r="N149" s="22">
        <f t="shared" si="40"/>
        <v>0.42898371011357528</v>
      </c>
      <c r="O149" s="7"/>
      <c r="P149" s="8"/>
      <c r="Q149" s="84"/>
      <c r="AB149" t="s">
        <v>284</v>
      </c>
      <c r="AC149" s="1" t="str">
        <f t="shared" si="34"/>
        <v>Forsker 2</v>
      </c>
      <c r="AD149" s="17">
        <f t="shared" si="36"/>
        <v>0.40435458786936235</v>
      </c>
      <c r="AE149" s="1" t="str">
        <f t="shared" si="35"/>
        <v>Tekn./Adm. 2</v>
      </c>
      <c r="AF149" s="208">
        <f t="shared" si="37"/>
        <v>0.13</v>
      </c>
    </row>
    <row r="150" spans="8:32" x14ac:dyDescent="0.25">
      <c r="H150" s="87" t="s">
        <v>270</v>
      </c>
      <c r="I150" s="221">
        <f t="shared" si="38"/>
        <v>565500</v>
      </c>
      <c r="J150" s="5"/>
      <c r="K150" s="6">
        <f t="shared" si="33"/>
        <v>565100</v>
      </c>
      <c r="L150" s="4">
        <f t="shared" si="39"/>
        <v>807490.2640000002</v>
      </c>
      <c r="M150" s="4">
        <f t="shared" si="41"/>
        <v>242390.2640000002</v>
      </c>
      <c r="N150" s="22">
        <f t="shared" si="40"/>
        <v>0.42893339939833691</v>
      </c>
      <c r="O150" s="7"/>
      <c r="P150" s="8"/>
      <c r="Q150" s="84"/>
      <c r="AB150" t="s">
        <v>285</v>
      </c>
      <c r="AC150" s="1" t="str">
        <f t="shared" si="34"/>
        <v>Forsker 2</v>
      </c>
      <c r="AD150" s="17">
        <f t="shared" si="36"/>
        <v>0.40435458786936235</v>
      </c>
      <c r="AE150" s="1" t="str">
        <f t="shared" si="35"/>
        <v>Tekn./Adm. 2</v>
      </c>
      <c r="AF150" s="208">
        <f t="shared" si="37"/>
        <v>0.13</v>
      </c>
    </row>
    <row r="151" spans="8:32" x14ac:dyDescent="0.25">
      <c r="H151" s="87" t="s">
        <v>271</v>
      </c>
      <c r="I151" s="221">
        <f t="shared" si="38"/>
        <v>576100</v>
      </c>
      <c r="J151" s="5"/>
      <c r="K151" s="6">
        <f t="shared" ref="K151:K187" si="42">I151-400</f>
        <v>575700</v>
      </c>
      <c r="L151" s="4">
        <f t="shared" si="39"/>
        <v>822608.5140000002</v>
      </c>
      <c r="M151" s="4">
        <f t="shared" si="41"/>
        <v>246908.5140000002</v>
      </c>
      <c r="N151" s="22">
        <f t="shared" si="40"/>
        <v>0.42888399166232449</v>
      </c>
      <c r="O151" s="7"/>
      <c r="P151" s="8"/>
      <c r="Q151" s="84"/>
      <c r="AB151" t="s">
        <v>286</v>
      </c>
      <c r="AC151" s="1" t="str">
        <f t="shared" si="34"/>
        <v>Forsker 2</v>
      </c>
      <c r="AD151" s="17">
        <f t="shared" si="36"/>
        <v>0.40435458786936235</v>
      </c>
      <c r="AE151" s="1" t="str">
        <f t="shared" si="35"/>
        <v>Tekn./Adm. 2</v>
      </c>
      <c r="AF151" s="208">
        <f t="shared" si="37"/>
        <v>0.13</v>
      </c>
    </row>
    <row r="152" spans="8:32" x14ac:dyDescent="0.25">
      <c r="H152" s="87" t="s">
        <v>272</v>
      </c>
      <c r="I152" s="221">
        <f t="shared" si="38"/>
        <v>586500</v>
      </c>
      <c r="J152" s="5"/>
      <c r="K152" s="6">
        <f t="shared" si="42"/>
        <v>586100</v>
      </c>
      <c r="L152" s="4">
        <f t="shared" si="39"/>
        <v>837441.5140000002</v>
      </c>
      <c r="M152" s="4">
        <f t="shared" si="41"/>
        <v>251341.5140000002</v>
      </c>
      <c r="N152" s="22">
        <f t="shared" si="40"/>
        <v>0.42883725302849379</v>
      </c>
      <c r="O152" s="7"/>
      <c r="P152" s="8"/>
      <c r="Q152" s="84"/>
      <c r="AB152" t="s">
        <v>287</v>
      </c>
      <c r="AC152" s="1" t="str">
        <f t="shared" si="34"/>
        <v>Forsker 2</v>
      </c>
      <c r="AD152" s="17">
        <f t="shared" si="36"/>
        <v>0.40435458786936235</v>
      </c>
      <c r="AE152" s="1" t="str">
        <f t="shared" si="35"/>
        <v>Tekn./Adm. 2</v>
      </c>
      <c r="AF152" s="208">
        <f t="shared" si="37"/>
        <v>0.13</v>
      </c>
    </row>
    <row r="153" spans="8:32" x14ac:dyDescent="0.25">
      <c r="H153" s="87" t="s">
        <v>273</v>
      </c>
      <c r="I153" s="221">
        <f t="shared" si="38"/>
        <v>597400</v>
      </c>
      <c r="J153" s="5"/>
      <c r="K153" s="6">
        <f t="shared" si="42"/>
        <v>597000</v>
      </c>
      <c r="L153" s="4">
        <f t="shared" si="39"/>
        <v>852987.6390000002</v>
      </c>
      <c r="M153" s="4">
        <f t="shared" si="41"/>
        <v>255987.6390000002</v>
      </c>
      <c r="N153" s="22">
        <f t="shared" si="40"/>
        <v>0.42879001507537723</v>
      </c>
      <c r="O153" s="7"/>
      <c r="P153" s="8"/>
      <c r="Q153" s="84"/>
      <c r="AB153" t="s">
        <v>288</v>
      </c>
      <c r="AC153" s="1" t="str">
        <f t="shared" ref="AC153:AC172" si="43">AC69</f>
        <v>Forsker 2</v>
      </c>
      <c r="AD153" s="17">
        <f t="shared" si="36"/>
        <v>0.40435458786936235</v>
      </c>
      <c r="AE153" s="1" t="str">
        <f t="shared" ref="AE153:AE172" si="44">AE69</f>
        <v>Tekn./Adm. 2</v>
      </c>
      <c r="AF153" s="208">
        <f t="shared" si="37"/>
        <v>0.13</v>
      </c>
    </row>
    <row r="154" spans="8:32" x14ac:dyDescent="0.25">
      <c r="H154" s="87" t="s">
        <v>274</v>
      </c>
      <c r="I154" s="221">
        <f t="shared" si="38"/>
        <v>607700</v>
      </c>
      <c r="J154" s="5"/>
      <c r="K154" s="6">
        <f t="shared" si="42"/>
        <v>607300</v>
      </c>
      <c r="L154" s="4">
        <f t="shared" si="39"/>
        <v>867678.0140000002</v>
      </c>
      <c r="M154" s="4">
        <f t="shared" si="41"/>
        <v>260378.0140000002</v>
      </c>
      <c r="N154" s="22">
        <f t="shared" si="40"/>
        <v>0.42874693561666427</v>
      </c>
      <c r="O154" s="7"/>
      <c r="P154" s="8"/>
      <c r="Q154" s="84"/>
      <c r="AB154" t="s">
        <v>289</v>
      </c>
      <c r="AC154" s="1" t="str">
        <f t="shared" si="43"/>
        <v>Forsker 2</v>
      </c>
      <c r="AD154" s="17">
        <f t="shared" ref="AD154:AD172" si="45">VLOOKUP(AC154,$S$21:$X$27,6,FALSE)</f>
        <v>0.40435458786936235</v>
      </c>
      <c r="AE154" s="1" t="str">
        <f t="shared" si="44"/>
        <v>Tekn./Adm. 2</v>
      </c>
      <c r="AF154" s="208">
        <f t="shared" ref="AF154:AF172" si="46">VLOOKUP(AE154,$S$14:$X$20,6,FALSE)</f>
        <v>0.13</v>
      </c>
    </row>
    <row r="155" spans="8:32" x14ac:dyDescent="0.25">
      <c r="H155" s="87" t="s">
        <v>275</v>
      </c>
      <c r="I155" s="221">
        <f t="shared" si="38"/>
        <v>619300</v>
      </c>
      <c r="J155" s="5"/>
      <c r="K155" s="6">
        <f t="shared" si="42"/>
        <v>618900</v>
      </c>
      <c r="L155" s="4">
        <f t="shared" si="39"/>
        <v>884222.5140000002</v>
      </c>
      <c r="M155" s="4">
        <f t="shared" si="41"/>
        <v>265322.5140000002</v>
      </c>
      <c r="N155" s="22">
        <f t="shared" si="40"/>
        <v>0.42870013572467314</v>
      </c>
      <c r="O155" s="7"/>
      <c r="P155" s="8"/>
      <c r="Q155" s="84"/>
      <c r="AB155" t="s">
        <v>290</v>
      </c>
      <c r="AC155" s="1" t="str">
        <f t="shared" si="43"/>
        <v>Forsker 2</v>
      </c>
      <c r="AD155" s="17">
        <f t="shared" si="45"/>
        <v>0.40435458786936235</v>
      </c>
      <c r="AE155" s="1" t="str">
        <f t="shared" si="44"/>
        <v>Tekn./Adm. 2</v>
      </c>
      <c r="AF155" s="208">
        <f t="shared" si="46"/>
        <v>0.13</v>
      </c>
    </row>
    <row r="156" spans="8:32" x14ac:dyDescent="0.25">
      <c r="H156" s="87" t="s">
        <v>276</v>
      </c>
      <c r="I156" s="221">
        <f t="shared" si="38"/>
        <v>631700</v>
      </c>
      <c r="J156" s="5"/>
      <c r="K156" s="6">
        <f t="shared" si="42"/>
        <v>631300</v>
      </c>
      <c r="L156" s="4">
        <f t="shared" si="39"/>
        <v>901908.0140000002</v>
      </c>
      <c r="M156" s="4">
        <f t="shared" si="41"/>
        <v>270608.0140000002</v>
      </c>
      <c r="N156" s="22">
        <f t="shared" si="40"/>
        <v>0.42865201013781118</v>
      </c>
      <c r="O156" s="7"/>
      <c r="P156" s="8"/>
      <c r="Q156" s="84"/>
      <c r="AB156" t="s">
        <v>291</v>
      </c>
      <c r="AC156" s="1" t="str">
        <f t="shared" si="43"/>
        <v>Forsker 2</v>
      </c>
      <c r="AD156" s="17">
        <f t="shared" si="45"/>
        <v>0.40435458786936235</v>
      </c>
      <c r="AE156" s="1" t="str">
        <f t="shared" si="44"/>
        <v>Tekn./Adm. 2</v>
      </c>
      <c r="AF156" s="208">
        <f t="shared" si="46"/>
        <v>0.13</v>
      </c>
    </row>
    <row r="157" spans="8:32" x14ac:dyDescent="0.25">
      <c r="H157" s="87" t="s">
        <v>277</v>
      </c>
      <c r="I157" s="221">
        <f t="shared" si="38"/>
        <v>646700</v>
      </c>
      <c r="J157" s="5"/>
      <c r="K157" s="6">
        <f t="shared" si="42"/>
        <v>646300</v>
      </c>
      <c r="L157" s="4">
        <f t="shared" si="39"/>
        <v>923301.7640000002</v>
      </c>
      <c r="M157" s="4">
        <f t="shared" si="41"/>
        <v>277001.7640000002</v>
      </c>
      <c r="N157" s="22">
        <f t="shared" si="40"/>
        <v>0.42859626179792698</v>
      </c>
      <c r="O157" s="7"/>
      <c r="P157" s="8"/>
      <c r="Q157" s="84"/>
      <c r="AB157" t="s">
        <v>292</v>
      </c>
      <c r="AC157" s="1" t="str">
        <f t="shared" si="43"/>
        <v>Forsker 2</v>
      </c>
      <c r="AD157" s="17">
        <f t="shared" si="45"/>
        <v>0.40435458786936235</v>
      </c>
      <c r="AE157" s="1" t="str">
        <f t="shared" si="44"/>
        <v>Tekn./Adm. 2</v>
      </c>
      <c r="AF157" s="208">
        <f t="shared" si="46"/>
        <v>0.13</v>
      </c>
    </row>
    <row r="158" spans="8:32" x14ac:dyDescent="0.25">
      <c r="H158" s="87" t="s">
        <v>278</v>
      </c>
      <c r="I158" s="221">
        <f t="shared" si="38"/>
        <v>658300</v>
      </c>
      <c r="J158" s="5"/>
      <c r="K158" s="6">
        <f t="shared" si="42"/>
        <v>657900</v>
      </c>
      <c r="L158" s="4">
        <f t="shared" si="39"/>
        <v>939846.2640000002</v>
      </c>
      <c r="M158" s="4">
        <f t="shared" si="41"/>
        <v>281946.2640000002</v>
      </c>
      <c r="N158" s="22">
        <f t="shared" si="40"/>
        <v>0.42855489284085757</v>
      </c>
      <c r="O158" s="7"/>
      <c r="P158" s="8"/>
      <c r="Q158" s="84"/>
      <c r="AB158" t="s">
        <v>293</v>
      </c>
      <c r="AC158" s="1" t="str">
        <f t="shared" si="43"/>
        <v>Forsker 1</v>
      </c>
      <c r="AD158" s="17">
        <f t="shared" si="45"/>
        <v>0.30127462340672073</v>
      </c>
      <c r="AE158" s="1" t="str">
        <f t="shared" si="44"/>
        <v>Tekn./Adm. 1</v>
      </c>
      <c r="AF158" s="208">
        <f t="shared" si="46"/>
        <v>0.10348706411698538</v>
      </c>
    </row>
    <row r="159" spans="8:32" x14ac:dyDescent="0.25">
      <c r="H159" s="87" t="s">
        <v>279</v>
      </c>
      <c r="I159" s="221">
        <f t="shared" si="38"/>
        <v>670000</v>
      </c>
      <c r="J159" s="5"/>
      <c r="K159" s="6">
        <f t="shared" si="42"/>
        <v>669600</v>
      </c>
      <c r="L159" s="4">
        <f t="shared" si="39"/>
        <v>956533.3890000002</v>
      </c>
      <c r="M159" s="4">
        <f t="shared" si="41"/>
        <v>286933.3890000002</v>
      </c>
      <c r="N159" s="22">
        <f t="shared" si="40"/>
        <v>0.42851461917562755</v>
      </c>
      <c r="O159" s="7"/>
      <c r="P159" s="8"/>
      <c r="Q159" s="84"/>
      <c r="AB159" t="s">
        <v>294</v>
      </c>
      <c r="AC159" s="1" t="str">
        <f t="shared" si="43"/>
        <v>Forsker 1</v>
      </c>
      <c r="AD159" s="17">
        <f t="shared" si="45"/>
        <v>0.30127462340672073</v>
      </c>
      <c r="AE159" s="1" t="str">
        <f t="shared" si="44"/>
        <v>Tekn./Adm. 1</v>
      </c>
      <c r="AF159" s="208">
        <f t="shared" si="46"/>
        <v>0.10348706411698538</v>
      </c>
    </row>
    <row r="160" spans="8:32" x14ac:dyDescent="0.25">
      <c r="H160" s="87" t="s">
        <v>280</v>
      </c>
      <c r="I160" s="221">
        <f t="shared" si="38"/>
        <v>682200</v>
      </c>
      <c r="J160" s="5"/>
      <c r="K160" s="6">
        <f t="shared" si="42"/>
        <v>681800</v>
      </c>
      <c r="L160" s="4">
        <f t="shared" si="39"/>
        <v>973933.6390000002</v>
      </c>
      <c r="M160" s="4">
        <f t="shared" si="41"/>
        <v>292133.6390000002</v>
      </c>
      <c r="N160" s="22">
        <f t="shared" si="40"/>
        <v>0.42847409650924057</v>
      </c>
      <c r="O160" s="7"/>
      <c r="P160" s="8"/>
      <c r="Q160" s="84"/>
      <c r="AB160" t="s">
        <v>295</v>
      </c>
      <c r="AC160" s="1" t="str">
        <f t="shared" si="43"/>
        <v>Forsker 1</v>
      </c>
      <c r="AD160" s="17">
        <f t="shared" si="45"/>
        <v>0.30127462340672073</v>
      </c>
      <c r="AE160" s="1" t="str">
        <f t="shared" si="44"/>
        <v>Tekn./Adm. 1</v>
      </c>
      <c r="AF160" s="208">
        <f t="shared" si="46"/>
        <v>0.10348706411698538</v>
      </c>
    </row>
    <row r="161" spans="8:32" x14ac:dyDescent="0.25">
      <c r="H161" s="87" t="s">
        <v>281</v>
      </c>
      <c r="I161" s="221">
        <f t="shared" si="38"/>
        <v>695500</v>
      </c>
      <c r="J161" s="5"/>
      <c r="K161" s="6">
        <f t="shared" si="42"/>
        <v>695100</v>
      </c>
      <c r="L161" s="4">
        <f t="shared" si="39"/>
        <v>992902.7640000002</v>
      </c>
      <c r="M161" s="4">
        <f t="shared" si="41"/>
        <v>297802.7640000002</v>
      </c>
      <c r="N161" s="22">
        <f t="shared" si="40"/>
        <v>0.42843154078549878</v>
      </c>
      <c r="O161" s="7"/>
      <c r="P161" s="8"/>
      <c r="Q161" s="84"/>
      <c r="AB161" t="s">
        <v>296</v>
      </c>
      <c r="AC161" s="1" t="str">
        <f t="shared" si="43"/>
        <v>Forsker 1</v>
      </c>
      <c r="AD161" s="17">
        <f t="shared" si="45"/>
        <v>0.30127462340672073</v>
      </c>
      <c r="AE161" s="1" t="str">
        <f t="shared" si="44"/>
        <v>Tekn./Adm. 1</v>
      </c>
      <c r="AF161" s="208">
        <f t="shared" si="46"/>
        <v>0.10348706411698538</v>
      </c>
    </row>
    <row r="162" spans="8:32" x14ac:dyDescent="0.25">
      <c r="H162" s="87" t="s">
        <v>282</v>
      </c>
      <c r="I162" s="221">
        <f t="shared" si="38"/>
        <v>713600</v>
      </c>
      <c r="J162" s="5"/>
      <c r="K162" s="6">
        <f t="shared" si="42"/>
        <v>713200</v>
      </c>
      <c r="L162" s="4">
        <f t="shared" si="39"/>
        <v>1018717.8890000002</v>
      </c>
      <c r="M162" s="4">
        <f t="shared" si="41"/>
        <v>305517.8890000002</v>
      </c>
      <c r="N162" s="22">
        <f t="shared" si="40"/>
        <v>0.42837617638811021</v>
      </c>
      <c r="O162" s="7"/>
      <c r="P162" s="8"/>
      <c r="Q162" s="84"/>
      <c r="AB162" t="s">
        <v>297</v>
      </c>
      <c r="AC162" s="1" t="str">
        <f t="shared" si="43"/>
        <v>Forsker 1</v>
      </c>
      <c r="AD162" s="17">
        <f t="shared" si="45"/>
        <v>0.30127462340672073</v>
      </c>
      <c r="AE162" s="1" t="str">
        <f t="shared" si="44"/>
        <v>Tekn./Adm. 1</v>
      </c>
      <c r="AF162" s="208">
        <f t="shared" si="46"/>
        <v>0.10348706411698538</v>
      </c>
    </row>
    <row r="163" spans="8:32" x14ac:dyDescent="0.25">
      <c r="H163" s="87" t="s">
        <v>283</v>
      </c>
      <c r="I163" s="221">
        <f t="shared" si="38"/>
        <v>731400</v>
      </c>
      <c r="J163" s="5"/>
      <c r="K163" s="6">
        <f t="shared" si="42"/>
        <v>731000</v>
      </c>
      <c r="L163" s="4">
        <f t="shared" si="39"/>
        <v>1044105.1390000002</v>
      </c>
      <c r="M163" s="4">
        <f t="shared" si="41"/>
        <v>313105.1390000002</v>
      </c>
      <c r="N163" s="22">
        <f t="shared" si="40"/>
        <v>0.42832440355677182</v>
      </c>
      <c r="O163" s="7"/>
      <c r="P163" s="8"/>
      <c r="Q163" s="84"/>
      <c r="AB163" t="s">
        <v>298</v>
      </c>
      <c r="AC163" s="1" t="str">
        <f t="shared" si="43"/>
        <v>Forsker 1</v>
      </c>
      <c r="AD163" s="17">
        <f t="shared" si="45"/>
        <v>0.30127462340672073</v>
      </c>
      <c r="AE163" s="1" t="str">
        <f t="shared" si="44"/>
        <v>Tekn./Adm. 1</v>
      </c>
      <c r="AF163" s="208">
        <f t="shared" si="46"/>
        <v>0.10348706411698538</v>
      </c>
    </row>
    <row r="164" spans="8:32" x14ac:dyDescent="0.25">
      <c r="H164" s="87" t="s">
        <v>284</v>
      </c>
      <c r="I164" s="221">
        <f t="shared" si="38"/>
        <v>754900</v>
      </c>
      <c r="J164" s="5"/>
      <c r="K164" s="6">
        <f t="shared" si="42"/>
        <v>754500</v>
      </c>
      <c r="L164" s="4">
        <f t="shared" si="39"/>
        <v>1077622.0140000002</v>
      </c>
      <c r="M164" s="4">
        <f t="shared" si="41"/>
        <v>323122.0140000002</v>
      </c>
      <c r="N164" s="22">
        <f t="shared" si="40"/>
        <v>0.42825979324055691</v>
      </c>
      <c r="O164" s="7"/>
      <c r="P164" s="8"/>
      <c r="Q164" s="84"/>
      <c r="AB164" t="s">
        <v>299</v>
      </c>
      <c r="AC164" s="1" t="str">
        <f t="shared" si="43"/>
        <v>Forsker 1</v>
      </c>
      <c r="AD164" s="17">
        <f t="shared" si="45"/>
        <v>0.30127462340672073</v>
      </c>
      <c r="AE164" s="1" t="str">
        <f t="shared" si="44"/>
        <v>Tekn./Adm. 1</v>
      </c>
      <c r="AF164" s="208">
        <f t="shared" si="46"/>
        <v>0.10348706411698538</v>
      </c>
    </row>
    <row r="165" spans="8:32" x14ac:dyDescent="0.25">
      <c r="H165" s="87" t="s">
        <v>285</v>
      </c>
      <c r="I165" s="221">
        <f t="shared" si="38"/>
        <v>778700</v>
      </c>
      <c r="J165" s="5"/>
      <c r="K165" s="6">
        <f t="shared" si="42"/>
        <v>778300</v>
      </c>
      <c r="L165" s="4">
        <f t="shared" si="39"/>
        <v>1111566.7640000002</v>
      </c>
      <c r="M165" s="4">
        <f t="shared" si="41"/>
        <v>333266.7640000002</v>
      </c>
      <c r="N165" s="22">
        <f t="shared" si="40"/>
        <v>0.42819833483232711</v>
      </c>
      <c r="O165" s="7"/>
      <c r="P165" s="8"/>
      <c r="Q165" s="84"/>
      <c r="AB165" t="s">
        <v>300</v>
      </c>
      <c r="AC165" s="1" t="str">
        <f t="shared" si="43"/>
        <v>Forsker 1</v>
      </c>
      <c r="AD165" s="17">
        <f t="shared" si="45"/>
        <v>0.30127462340672073</v>
      </c>
      <c r="AE165" s="1" t="str">
        <f t="shared" si="44"/>
        <v>Tekn./Adm. 1</v>
      </c>
      <c r="AF165" s="208">
        <f t="shared" si="46"/>
        <v>0.10348706411698538</v>
      </c>
    </row>
    <row r="166" spans="8:32" x14ac:dyDescent="0.25">
      <c r="H166" s="87" t="s">
        <v>286</v>
      </c>
      <c r="I166" s="221">
        <f t="shared" si="38"/>
        <v>802600</v>
      </c>
      <c r="J166" s="5"/>
      <c r="K166" s="6">
        <f t="shared" si="42"/>
        <v>802200</v>
      </c>
      <c r="L166" s="4">
        <f t="shared" si="39"/>
        <v>1145654.1390000002</v>
      </c>
      <c r="M166" s="4">
        <f t="shared" si="41"/>
        <v>343454.1390000002</v>
      </c>
      <c r="N166" s="22">
        <f t="shared" si="40"/>
        <v>0.42814028795811543</v>
      </c>
      <c r="O166" s="7"/>
      <c r="P166" s="8"/>
      <c r="Q166" s="84"/>
      <c r="AB166" t="s">
        <v>301</v>
      </c>
      <c r="AC166" s="1" t="str">
        <f t="shared" si="43"/>
        <v>Forsker 1</v>
      </c>
      <c r="AD166" s="17">
        <f t="shared" si="45"/>
        <v>0.30127462340672073</v>
      </c>
      <c r="AE166" s="1" t="str">
        <f t="shared" si="44"/>
        <v>Tekn./Adm. 1</v>
      </c>
      <c r="AF166" s="208">
        <f t="shared" si="46"/>
        <v>0.10348706411698538</v>
      </c>
    </row>
    <row r="167" spans="8:32" x14ac:dyDescent="0.25">
      <c r="H167" s="87" t="s">
        <v>287</v>
      </c>
      <c r="I167" s="221">
        <f t="shared" si="38"/>
        <v>826000</v>
      </c>
      <c r="J167" s="5"/>
      <c r="K167" s="6">
        <f t="shared" si="42"/>
        <v>825600</v>
      </c>
      <c r="L167" s="4">
        <f t="shared" si="39"/>
        <v>1179028.3890000002</v>
      </c>
      <c r="M167" s="4">
        <f t="shared" si="41"/>
        <v>353428.3890000002</v>
      </c>
      <c r="N167" s="22">
        <f t="shared" si="40"/>
        <v>0.42808671148255839</v>
      </c>
      <c r="O167" s="7"/>
      <c r="P167" s="8"/>
      <c r="Q167" s="84"/>
      <c r="AB167" t="s">
        <v>302</v>
      </c>
      <c r="AC167" s="1" t="str">
        <f t="shared" si="43"/>
        <v>Forsker 1</v>
      </c>
      <c r="AD167" s="17">
        <f t="shared" si="45"/>
        <v>0.30127462340672073</v>
      </c>
      <c r="AE167" s="1" t="str">
        <f t="shared" si="44"/>
        <v>Tekn./Adm. 1</v>
      </c>
      <c r="AF167" s="208">
        <f t="shared" si="46"/>
        <v>0.10348706411698538</v>
      </c>
    </row>
    <row r="168" spans="8:32" x14ac:dyDescent="0.25">
      <c r="H168" s="87" t="s">
        <v>288</v>
      </c>
      <c r="I168" s="221">
        <f t="shared" si="38"/>
        <v>848800</v>
      </c>
      <c r="J168" s="5"/>
      <c r="K168" s="6">
        <f t="shared" si="42"/>
        <v>848400</v>
      </c>
      <c r="L168" s="4">
        <f t="shared" si="39"/>
        <v>1211546.889</v>
      </c>
      <c r="M168" s="4">
        <f t="shared" si="41"/>
        <v>363146.88899999997</v>
      </c>
      <c r="N168" s="22">
        <f t="shared" si="40"/>
        <v>0.42803735148514849</v>
      </c>
      <c r="O168" s="7"/>
      <c r="P168" s="8"/>
      <c r="Q168" s="84"/>
      <c r="AB168" t="s">
        <v>303</v>
      </c>
      <c r="AC168" s="1" t="str">
        <f t="shared" si="43"/>
        <v>Forsker 1</v>
      </c>
      <c r="AD168" s="17">
        <f t="shared" si="45"/>
        <v>0.30127462340672073</v>
      </c>
      <c r="AE168" s="1" t="str">
        <f t="shared" si="44"/>
        <v>Tekn./Adm. 1</v>
      </c>
      <c r="AF168" s="208">
        <f t="shared" si="46"/>
        <v>0.10348706411698538</v>
      </c>
    </row>
    <row r="169" spans="8:32" x14ac:dyDescent="0.25">
      <c r="H169" s="87" t="s">
        <v>289</v>
      </c>
      <c r="I169" s="221">
        <f t="shared" si="38"/>
        <v>871300</v>
      </c>
      <c r="J169" s="5"/>
      <c r="K169" s="6">
        <f t="shared" si="42"/>
        <v>870900</v>
      </c>
      <c r="L169" s="4">
        <f t="shared" si="39"/>
        <v>1243637.514</v>
      </c>
      <c r="M169" s="4">
        <f t="shared" si="41"/>
        <v>372737.51399999997</v>
      </c>
      <c r="N169" s="22">
        <f t="shared" si="40"/>
        <v>0.42799117464691694</v>
      </c>
      <c r="O169" s="7"/>
      <c r="P169" s="8"/>
      <c r="Q169" s="84"/>
      <c r="AB169" t="s">
        <v>304</v>
      </c>
      <c r="AC169" s="1" t="str">
        <f t="shared" si="43"/>
        <v>Forsker 1</v>
      </c>
      <c r="AD169" s="17">
        <f t="shared" si="45"/>
        <v>0.30127462340672073</v>
      </c>
      <c r="AE169" s="1" t="str">
        <f t="shared" si="44"/>
        <v>Tekn./Adm. 1</v>
      </c>
      <c r="AF169" s="208">
        <f t="shared" si="46"/>
        <v>0.10348706411698538</v>
      </c>
    </row>
    <row r="170" spans="8:32" x14ac:dyDescent="0.25">
      <c r="H170" s="87" t="s">
        <v>290</v>
      </c>
      <c r="I170" s="221">
        <f t="shared" ref="I170:I187" si="47">I87</f>
        <v>893900</v>
      </c>
      <c r="J170" s="5"/>
      <c r="K170" s="6">
        <f t="shared" si="42"/>
        <v>893500</v>
      </c>
      <c r="L170" s="4">
        <f t="shared" ref="L170:L187" si="48">((K170*1.12+K170*0.13+1329)*1.141)</f>
        <v>1275870.764</v>
      </c>
      <c r="M170" s="4">
        <f t="shared" si="41"/>
        <v>382370.76399999997</v>
      </c>
      <c r="N170" s="22">
        <f t="shared" si="40"/>
        <v>0.42794713374370452</v>
      </c>
      <c r="O170" s="7"/>
      <c r="P170" s="8"/>
      <c r="Q170" s="84"/>
      <c r="AB170" t="s">
        <v>305</v>
      </c>
      <c r="AC170" s="1" t="str">
        <f t="shared" si="43"/>
        <v>Forsker 1</v>
      </c>
      <c r="AD170" s="17">
        <f t="shared" si="45"/>
        <v>0.30127462340672073</v>
      </c>
      <c r="AE170" s="1" t="str">
        <f t="shared" si="44"/>
        <v>Tekn./Adm. 1</v>
      </c>
      <c r="AF170" s="208">
        <f t="shared" si="46"/>
        <v>0.10348706411698538</v>
      </c>
    </row>
    <row r="171" spans="8:32" x14ac:dyDescent="0.25">
      <c r="H171" s="87" t="s">
        <v>291</v>
      </c>
      <c r="I171" s="221">
        <f t="shared" si="47"/>
        <v>922300</v>
      </c>
      <c r="J171" s="5"/>
      <c r="K171" s="6">
        <f t="shared" si="42"/>
        <v>921900</v>
      </c>
      <c r="L171" s="4">
        <f t="shared" si="48"/>
        <v>1316376.264</v>
      </c>
      <c r="M171" s="4">
        <f t="shared" si="41"/>
        <v>394476.26399999997</v>
      </c>
      <c r="N171" s="22">
        <f t="shared" si="40"/>
        <v>0.42789485193621862</v>
      </c>
      <c r="O171" s="7"/>
      <c r="P171" s="8"/>
      <c r="Q171" s="84"/>
      <c r="AB171" t="s">
        <v>306</v>
      </c>
      <c r="AC171" s="1" t="str">
        <f t="shared" si="43"/>
        <v>Forsker 1</v>
      </c>
      <c r="AD171" s="17">
        <f t="shared" si="45"/>
        <v>0.30127462340672073</v>
      </c>
      <c r="AE171" s="1" t="str">
        <f t="shared" si="44"/>
        <v>Tekn./Adm. 1</v>
      </c>
      <c r="AF171" s="208">
        <f t="shared" si="46"/>
        <v>0.10348706411698538</v>
      </c>
    </row>
    <row r="172" spans="8:32" x14ac:dyDescent="0.25">
      <c r="H172" s="87" t="s">
        <v>292</v>
      </c>
      <c r="I172" s="221">
        <f t="shared" si="47"/>
        <v>950400</v>
      </c>
      <c r="J172" s="5"/>
      <c r="K172" s="6">
        <f t="shared" si="42"/>
        <v>950000</v>
      </c>
      <c r="L172" s="4">
        <f t="shared" si="48"/>
        <v>1356453.889</v>
      </c>
      <c r="M172" s="4">
        <f t="shared" si="41"/>
        <v>406453.88899999997</v>
      </c>
      <c r="N172" s="22">
        <f t="shared" si="40"/>
        <v>0.42784619894736836</v>
      </c>
      <c r="O172" s="7"/>
      <c r="P172" s="8"/>
      <c r="Q172" s="84"/>
      <c r="AB172" t="s">
        <v>416</v>
      </c>
      <c r="AC172" s="1" t="str">
        <f t="shared" si="43"/>
        <v>Forsker 1</v>
      </c>
      <c r="AD172" s="17">
        <f t="shared" si="45"/>
        <v>0.30127462340672073</v>
      </c>
      <c r="AE172" s="1" t="str">
        <f t="shared" si="44"/>
        <v>Tekn./Adm. 1</v>
      </c>
      <c r="AF172" s="208">
        <f t="shared" si="46"/>
        <v>0.10348706411698538</v>
      </c>
    </row>
    <row r="173" spans="8:32" x14ac:dyDescent="0.25">
      <c r="H173" s="87" t="s">
        <v>293</v>
      </c>
      <c r="I173" s="221">
        <f t="shared" si="47"/>
        <v>979000</v>
      </c>
      <c r="J173" s="5"/>
      <c r="K173" s="6">
        <f t="shared" si="42"/>
        <v>978600</v>
      </c>
      <c r="L173" s="4">
        <f t="shared" si="48"/>
        <v>1397244.639</v>
      </c>
      <c r="M173" s="4">
        <f t="shared" si="41"/>
        <v>418644.63899999997</v>
      </c>
      <c r="N173" s="22">
        <f t="shared" si="40"/>
        <v>0.42779954935622316</v>
      </c>
      <c r="O173" s="7"/>
      <c r="P173" s="8"/>
      <c r="Q173" s="84"/>
    </row>
    <row r="174" spans="8:32" x14ac:dyDescent="0.25">
      <c r="H174" s="87" t="s">
        <v>294</v>
      </c>
      <c r="I174" s="221">
        <f t="shared" si="47"/>
        <v>1001400</v>
      </c>
      <c r="J174" s="5"/>
      <c r="K174" s="6">
        <f t="shared" si="42"/>
        <v>1001000</v>
      </c>
      <c r="L174" s="4">
        <f t="shared" si="48"/>
        <v>1429192.639</v>
      </c>
      <c r="M174" s="4">
        <f t="shared" si="41"/>
        <v>428192.63899999997</v>
      </c>
      <c r="N174" s="22">
        <f t="shared" si="40"/>
        <v>0.42776487412587411</v>
      </c>
      <c r="O174" s="7"/>
      <c r="P174" s="8"/>
      <c r="Q174" s="84"/>
    </row>
    <row r="175" spans="8:32" x14ac:dyDescent="0.25">
      <c r="H175" s="87" t="s">
        <v>295</v>
      </c>
      <c r="I175" s="221">
        <f t="shared" si="47"/>
        <v>1024000</v>
      </c>
      <c r="J175" s="5"/>
      <c r="K175" s="6">
        <f t="shared" si="42"/>
        <v>1023600</v>
      </c>
      <c r="L175" s="4">
        <f t="shared" si="48"/>
        <v>1461425.889</v>
      </c>
      <c r="M175" s="4">
        <f t="shared" si="41"/>
        <v>437825.88899999997</v>
      </c>
      <c r="N175" s="22">
        <f t="shared" si="40"/>
        <v>0.42773142731535752</v>
      </c>
      <c r="O175" s="7"/>
      <c r="P175" s="8"/>
      <c r="Q175" s="84"/>
    </row>
    <row r="176" spans="8:32" x14ac:dyDescent="0.25">
      <c r="H176" s="87" t="s">
        <v>296</v>
      </c>
      <c r="I176" s="221">
        <f t="shared" si="47"/>
        <v>1046600</v>
      </c>
      <c r="J176" s="5"/>
      <c r="K176" s="6">
        <f t="shared" si="42"/>
        <v>1046200</v>
      </c>
      <c r="L176" s="4">
        <f t="shared" si="48"/>
        <v>1493659.139</v>
      </c>
      <c r="M176" s="4">
        <f t="shared" si="41"/>
        <v>447459.13899999997</v>
      </c>
      <c r="N176" s="22">
        <f t="shared" si="40"/>
        <v>0.42769942554004969</v>
      </c>
      <c r="O176" s="7"/>
      <c r="P176" s="8"/>
      <c r="Q176" s="84"/>
    </row>
    <row r="177" spans="8:17" x14ac:dyDescent="0.25">
      <c r="H177" s="87" t="s">
        <v>297</v>
      </c>
      <c r="I177" s="221">
        <f t="shared" si="47"/>
        <v>1069500</v>
      </c>
      <c r="J177" s="5"/>
      <c r="K177" s="6">
        <f t="shared" si="42"/>
        <v>1069100</v>
      </c>
      <c r="L177" s="4">
        <f t="shared" si="48"/>
        <v>1526320.264</v>
      </c>
      <c r="M177" s="4">
        <f t="shared" si="41"/>
        <v>457220.26399999997</v>
      </c>
      <c r="N177" s="22">
        <f t="shared" si="40"/>
        <v>0.42766837901038252</v>
      </c>
      <c r="O177" s="7"/>
      <c r="P177" s="8"/>
      <c r="Q177" s="84"/>
    </row>
    <row r="178" spans="8:17" x14ac:dyDescent="0.25">
      <c r="H178" s="87" t="s">
        <v>298</v>
      </c>
      <c r="I178" s="221">
        <f t="shared" si="47"/>
        <v>1091900</v>
      </c>
      <c r="J178" s="5"/>
      <c r="K178" s="6">
        <f t="shared" si="42"/>
        <v>1091500</v>
      </c>
      <c r="L178" s="4">
        <f t="shared" si="48"/>
        <v>1558268.264</v>
      </c>
      <c r="M178" s="4">
        <f t="shared" si="41"/>
        <v>466768.26399999997</v>
      </c>
      <c r="N178" s="22">
        <f t="shared" si="40"/>
        <v>0.42763927072835545</v>
      </c>
      <c r="O178" s="7"/>
      <c r="P178" s="8"/>
      <c r="Q178" s="84"/>
    </row>
    <row r="179" spans="8:17" x14ac:dyDescent="0.25">
      <c r="H179" s="87" t="s">
        <v>299</v>
      </c>
      <c r="I179" s="221">
        <f t="shared" si="47"/>
        <v>1114600</v>
      </c>
      <c r="J179" s="5"/>
      <c r="K179" s="6">
        <f t="shared" si="42"/>
        <v>1114200</v>
      </c>
      <c r="L179" s="4">
        <f t="shared" si="48"/>
        <v>1590644.1390000002</v>
      </c>
      <c r="M179" s="4">
        <f t="shared" si="41"/>
        <v>476444.1390000002</v>
      </c>
      <c r="N179" s="22">
        <f t="shared" si="40"/>
        <v>0.42761096661281656</v>
      </c>
      <c r="O179" s="7"/>
      <c r="P179" s="8"/>
      <c r="Q179" s="84"/>
    </row>
    <row r="180" spans="8:17" x14ac:dyDescent="0.25">
      <c r="H180" s="87" t="s">
        <v>300</v>
      </c>
      <c r="I180" s="221">
        <f t="shared" si="47"/>
        <v>1137100</v>
      </c>
      <c r="J180" s="5"/>
      <c r="K180" s="6">
        <f t="shared" si="42"/>
        <v>1136700</v>
      </c>
      <c r="L180" s="4">
        <f t="shared" si="48"/>
        <v>1622734.7640000002</v>
      </c>
      <c r="M180" s="4">
        <f t="shared" si="41"/>
        <v>486034.7640000002</v>
      </c>
      <c r="N180" s="22">
        <f t="shared" si="40"/>
        <v>0.4275840274478756</v>
      </c>
      <c r="O180" s="7"/>
      <c r="P180" s="8"/>
      <c r="Q180" s="84"/>
    </row>
    <row r="181" spans="8:17" x14ac:dyDescent="0.25">
      <c r="H181" s="87" t="s">
        <v>301</v>
      </c>
      <c r="I181" s="221">
        <f t="shared" si="47"/>
        <v>1159900</v>
      </c>
      <c r="J181" s="5"/>
      <c r="K181" s="6">
        <f t="shared" si="42"/>
        <v>1159500</v>
      </c>
      <c r="L181" s="4">
        <f t="shared" si="48"/>
        <v>1655253.2640000002</v>
      </c>
      <c r="M181" s="4">
        <f t="shared" si="41"/>
        <v>495753.2640000002</v>
      </c>
      <c r="N181" s="22">
        <f t="shared" si="40"/>
        <v>0.42755779560155255</v>
      </c>
      <c r="O181" s="7"/>
      <c r="P181" s="8"/>
      <c r="Q181" s="84"/>
    </row>
    <row r="182" spans="8:17" x14ac:dyDescent="0.25">
      <c r="H182" s="87" t="s">
        <v>302</v>
      </c>
      <c r="I182" s="221">
        <f t="shared" si="47"/>
        <v>1182000</v>
      </c>
      <c r="J182" s="5"/>
      <c r="K182" s="6">
        <f t="shared" si="42"/>
        <v>1181600</v>
      </c>
      <c r="L182" s="4">
        <f t="shared" si="48"/>
        <v>1686773.3890000002</v>
      </c>
      <c r="M182" s="4">
        <f t="shared" si="41"/>
        <v>505173.3890000002</v>
      </c>
      <c r="N182" s="22">
        <f t="shared" si="40"/>
        <v>0.42753333530805704</v>
      </c>
      <c r="O182" s="7"/>
      <c r="P182" s="8"/>
      <c r="Q182" s="84"/>
    </row>
    <row r="183" spans="8:17" x14ac:dyDescent="0.25">
      <c r="H183" s="87" t="s">
        <v>303</v>
      </c>
      <c r="I183" s="221">
        <f t="shared" si="47"/>
        <v>1204200</v>
      </c>
      <c r="J183" s="5"/>
      <c r="K183" s="6">
        <f t="shared" si="42"/>
        <v>1203800</v>
      </c>
      <c r="L183" s="4">
        <f t="shared" si="48"/>
        <v>1718436.1390000002</v>
      </c>
      <c r="M183" s="4">
        <f t="shared" si="41"/>
        <v>514636.1390000002</v>
      </c>
      <c r="N183" s="22">
        <f t="shared" si="40"/>
        <v>0.4275096685495931</v>
      </c>
      <c r="O183" s="7"/>
      <c r="P183" s="8"/>
      <c r="Q183" s="84"/>
    </row>
    <row r="184" spans="8:17" x14ac:dyDescent="0.25">
      <c r="H184" s="87" t="s">
        <v>304</v>
      </c>
      <c r="I184" s="221">
        <f t="shared" si="47"/>
        <v>1226400</v>
      </c>
      <c r="J184" s="5"/>
      <c r="K184" s="6">
        <f t="shared" si="42"/>
        <v>1226000</v>
      </c>
      <c r="L184" s="4">
        <f t="shared" si="48"/>
        <v>1750098.8890000002</v>
      </c>
      <c r="M184" s="4">
        <f t="shared" si="41"/>
        <v>524098.8890000002</v>
      </c>
      <c r="N184" s="22">
        <f t="shared" si="40"/>
        <v>0.42748685889070165</v>
      </c>
      <c r="O184" s="7"/>
      <c r="P184" s="8"/>
      <c r="Q184" s="84"/>
    </row>
    <row r="185" spans="8:17" x14ac:dyDescent="0.25">
      <c r="H185" s="87" t="s">
        <v>305</v>
      </c>
      <c r="I185" s="221">
        <f t="shared" si="47"/>
        <v>1247700</v>
      </c>
      <c r="J185" s="5"/>
      <c r="K185" s="6">
        <f t="shared" si="42"/>
        <v>1247300</v>
      </c>
      <c r="L185" s="4">
        <f t="shared" si="48"/>
        <v>1780478.0140000002</v>
      </c>
      <c r="M185" s="4">
        <f t="shared" si="41"/>
        <v>533178.0140000002</v>
      </c>
      <c r="N185" s="22">
        <f t="shared" si="40"/>
        <v>0.4274657371923356</v>
      </c>
      <c r="O185" s="7"/>
      <c r="P185" s="8"/>
      <c r="Q185" s="84"/>
    </row>
    <row r="186" spans="8:17" x14ac:dyDescent="0.25">
      <c r="H186" s="87" t="s">
        <v>306</v>
      </c>
      <c r="I186" s="221">
        <f t="shared" si="47"/>
        <v>1268800</v>
      </c>
      <c r="J186" s="5"/>
      <c r="K186" s="6">
        <f t="shared" si="42"/>
        <v>1268400</v>
      </c>
      <c r="L186" s="4">
        <f t="shared" si="48"/>
        <v>1810571.8890000002</v>
      </c>
      <c r="M186" s="4">
        <f t="shared" si="41"/>
        <v>542171.8890000002</v>
      </c>
      <c r="N186" s="22">
        <f t="shared" si="40"/>
        <v>0.42744551324503327</v>
      </c>
      <c r="O186" s="7"/>
      <c r="P186" s="8"/>
      <c r="Q186" s="84"/>
    </row>
    <row r="187" spans="8:17" x14ac:dyDescent="0.25">
      <c r="H187" s="87" t="s">
        <v>416</v>
      </c>
      <c r="I187" s="221">
        <f t="shared" si="47"/>
        <v>1290000</v>
      </c>
      <c r="K187" s="6">
        <f t="shared" si="42"/>
        <v>1289600</v>
      </c>
      <c r="L187" s="4">
        <f t="shared" si="48"/>
        <v>1840808.3890000002</v>
      </c>
      <c r="M187" s="4">
        <f t="shared" si="41"/>
        <v>551208.3890000002</v>
      </c>
      <c r="N187" s="22">
        <f t="shared" si="40"/>
        <v>0.42742585995657584</v>
      </c>
    </row>
  </sheetData>
  <sortState ref="A2:F82">
    <sortCondition ref="A2:A82"/>
  </sortState>
  <mergeCells count="9">
    <mergeCell ref="H1:L1"/>
    <mergeCell ref="BC2:BD2"/>
    <mergeCell ref="AP2:AR2"/>
    <mergeCell ref="AT2:AV2"/>
    <mergeCell ref="T3:V3"/>
    <mergeCell ref="W3:Y3"/>
    <mergeCell ref="AB2:AF2"/>
    <mergeCell ref="AC3:AD3"/>
    <mergeCell ref="AE3:AF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9</vt:i4>
      </vt:variant>
      <vt:variant>
        <vt:lpstr>Navngitte områder</vt:lpstr>
      </vt:variant>
      <vt:variant>
        <vt:i4>9</vt:i4>
      </vt:variant>
    </vt:vector>
  </HeadingPairs>
  <TitlesOfParts>
    <vt:vector size="18" baseType="lpstr">
      <vt:lpstr>Ikke oppdat-Veiledning</vt:lpstr>
      <vt:lpstr>1. Prosjektinfo</vt:lpstr>
      <vt:lpstr>2. Budsjettering - Direkte lønn</vt:lpstr>
      <vt:lpstr>3. Budsjettering - Timer</vt:lpstr>
      <vt:lpstr>4. Budsjettering -Drift</vt:lpstr>
      <vt:lpstr>5. Oppsummering Budsjett</vt:lpstr>
      <vt:lpstr>6. NFR-søknad</vt:lpstr>
      <vt:lpstr>7. Samspill BOA-BFV</vt:lpstr>
      <vt:lpstr>Oppslag</vt:lpstr>
      <vt:lpstr>Budsjettenhet</vt:lpstr>
      <vt:lpstr>Drift</vt:lpstr>
      <vt:lpstr>Driftskategori</vt:lpstr>
      <vt:lpstr>Fast_ansatt?</vt:lpstr>
      <vt:lpstr>Priskategori</vt:lpstr>
      <vt:lpstr>Still</vt:lpstr>
      <vt:lpstr>Stilling</vt:lpstr>
      <vt:lpstr>Stillingstittel</vt:lpstr>
      <vt:lpstr>'7. Samspill BOA-BFV'!Utskriftsområde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2019-02-12T13:07:47Z</dcterms:modified>
</cp:coreProperties>
</file>