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M:\"/>
    </mc:Choice>
  </mc:AlternateContent>
  <xr:revisionPtr revIDLastSave="0" documentId="13_ncr:1_{DC464127-03CE-44A7-9125-81E73AE76A86}" xr6:coauthVersionLast="41" xr6:coauthVersionMax="41" xr10:uidLastSave="{00000000-0000-0000-0000-000000000000}"/>
  <bookViews>
    <workbookView xWindow="-120" yWindow="-120" windowWidth="29040" windowHeight="17640" xr2:uid="{00000000-000D-0000-FFFF-FFFF00000000}"/>
  </bookViews>
  <sheets>
    <sheet name="Brukerveiledning" sheetId="7" r:id="rId1"/>
    <sheet name="Input" sheetId="1" r:id="rId2"/>
    <sheet name="Beregninger" sheetId="5" state="hidden" r:id="rId3"/>
    <sheet name="Def" sheetId="2" state="hidden" r:id="rId4"/>
    <sheet name="Oppsummert" sheetId="6" r:id="rId5"/>
    <sheet name="Unntak i egenbetalingsforsk" sheetId="8" r:id="rId6"/>
    <sheet name="Finansieringskategorier" sheetId="9" r:id="rId7"/>
    <sheet name="Figurberegning" sheetId="4" state="hidden" r:id="rId8"/>
  </sheets>
  <definedNames>
    <definedName name="a.">Def!$I$2</definedName>
    <definedName name="Aktivitetstype">Def!$G$2:$G$5</definedName>
    <definedName name="b.">Def!$J$2:$J$3</definedName>
    <definedName name="c.">Def!$K$2:$K$3</definedName>
    <definedName name="d.">Def!$L$2</definedName>
    <definedName name="Finanskat">Def!$A$2:$A$7</definedName>
    <definedName name="IØA">Def!$H$13:$H$14</definedName>
    <definedName name="ØA">Def!$I$13:$I$16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 i="2" l="1"/>
  <c r="J11" i="5" l="1"/>
  <c r="E11" i="5"/>
  <c r="C11" i="5" l="1"/>
  <c r="B11" i="5"/>
  <c r="B13" i="1"/>
  <c r="C4" i="6" l="1"/>
  <c r="C7" i="6"/>
  <c r="C6" i="6"/>
  <c r="C5" i="6"/>
  <c r="C3" i="6"/>
  <c r="B4" i="4" l="1"/>
  <c r="G1" i="4" s="1"/>
  <c r="B13" i="2" l="1"/>
  <c r="C13" i="2"/>
  <c r="B14" i="2"/>
  <c r="C14" i="2"/>
  <c r="B15" i="2"/>
  <c r="C15" i="2"/>
  <c r="B16" i="2"/>
  <c r="C16" i="2"/>
  <c r="D14" i="5" s="1"/>
  <c r="B17" i="2"/>
  <c r="C17" i="2"/>
  <c r="C18" i="2"/>
  <c r="B18" i="2"/>
  <c r="K12" i="1"/>
  <c r="C3" i="5"/>
  <c r="C4" i="5"/>
  <c r="C5" i="5"/>
  <c r="C2" i="5"/>
  <c r="E2" i="5" s="1"/>
  <c r="C8" i="6" l="1"/>
  <c r="C14" i="5"/>
  <c r="D11" i="5" l="1"/>
  <c r="F3" i="5"/>
  <c r="E14" i="5"/>
  <c r="F4" i="5" s="1"/>
  <c r="D5" i="5" l="1"/>
  <c r="E5" i="5" s="1"/>
  <c r="D3" i="5"/>
  <c r="E3" i="5" s="1"/>
  <c r="F11" i="5"/>
  <c r="C21" i="1"/>
  <c r="D4" i="5" l="1"/>
  <c r="E4" i="5" s="1"/>
  <c r="C20" i="1" s="1"/>
  <c r="C26" i="1" s="1"/>
  <c r="C27" i="1"/>
  <c r="C13" i="6"/>
  <c r="C12" i="6"/>
  <c r="F3" i="4"/>
  <c r="C17" i="1" l="1"/>
  <c r="C2" i="4" s="1"/>
  <c r="C9" i="6" s="1"/>
  <c r="C14" i="6"/>
  <c r="C11" i="6"/>
  <c r="C10" i="6"/>
  <c r="E3" i="4"/>
  <c r="C22" i="1"/>
  <c r="D20" i="1" l="1"/>
  <c r="G4" i="4"/>
  <c r="D21" i="1"/>
  <c r="C23" i="1"/>
  <c r="C15" i="6" s="1"/>
  <c r="D22" i="1" l="1"/>
  <c r="D2" i="4" s="1"/>
  <c r="D23" i="1"/>
</calcChain>
</file>

<file path=xl/sharedStrings.xml><?xml version="1.0" encoding="utf-8"?>
<sst xmlns="http://schemas.openxmlformats.org/spreadsheetml/2006/main" count="235" uniqueCount="137">
  <si>
    <t>Egenfinansieringsprosent</t>
  </si>
  <si>
    <t>Resultatbev</t>
  </si>
  <si>
    <t>Studentbetaling</t>
  </si>
  <si>
    <t>2018-kr</t>
  </si>
  <si>
    <t>A</t>
  </si>
  <si>
    <t>B</t>
  </si>
  <si>
    <t>C</t>
  </si>
  <si>
    <t>D</t>
  </si>
  <si>
    <t>E</t>
  </si>
  <si>
    <t>F</t>
  </si>
  <si>
    <t>Basis</t>
  </si>
  <si>
    <t>Antall årsenheter</t>
  </si>
  <si>
    <t>Totale kostnader</t>
  </si>
  <si>
    <t>Finansieringskategori</t>
  </si>
  <si>
    <t>Kostnadsdekning</t>
  </si>
  <si>
    <t>Kostnader</t>
  </si>
  <si>
    <t>Inntekter</t>
  </si>
  <si>
    <t>Kurs</t>
  </si>
  <si>
    <t>Fag/emner som normalt ikke er en del av studieprogram som fører fram til grad eller yrkesutdanning</t>
  </si>
  <si>
    <t>Erfaringsbaserte mastergradsstudier</t>
  </si>
  <si>
    <t>Studenter som fyller opp ledige plasser på studieprogram eller fag/emner som er oppdragsfinansiert</t>
  </si>
  <si>
    <t>Ikke-økonomisk aktivitet</t>
  </si>
  <si>
    <t>Økonomisk aktivitet</t>
  </si>
  <si>
    <t>Totale kostnader fra TDI</t>
  </si>
  <si>
    <t>Unntak i § 3-2 (1)</t>
  </si>
  <si>
    <t>Aktivitet</t>
  </si>
  <si>
    <t>Totale kostnader KD-modellen</t>
  </si>
  <si>
    <t>Kandidat enkel</t>
  </si>
  <si>
    <t>Type emne/kurs</t>
  </si>
  <si>
    <t>ØA</t>
  </si>
  <si>
    <t>IØA</t>
  </si>
  <si>
    <t>a.</t>
  </si>
  <si>
    <t>b.</t>
  </si>
  <si>
    <t>c.</t>
  </si>
  <si>
    <t>d.</t>
  </si>
  <si>
    <t>Kostnader TDI</t>
  </si>
  <si>
    <t>Kostnader KD-modellen</t>
  </si>
  <si>
    <t>Studiepoeng</t>
  </si>
  <si>
    <t>Kostnader KD inkl kandidatbev</t>
  </si>
  <si>
    <t>Antall studenter</t>
  </si>
  <si>
    <t>Resultatbev inkl kandidat</t>
  </si>
  <si>
    <t>Studiepoengbev</t>
  </si>
  <si>
    <t>Kandidatbev</t>
  </si>
  <si>
    <t>Gjennomføringsprosent</t>
  </si>
  <si>
    <t>Resultatbev RFM</t>
  </si>
  <si>
    <t>RFM</t>
  </si>
  <si>
    <t>Basis KD</t>
  </si>
  <si>
    <t>Studiepoeng KD</t>
  </si>
  <si>
    <t>Kandidat enkel KD</t>
  </si>
  <si>
    <t>Resultatbev fra RFM</t>
  </si>
  <si>
    <t>Sum inntekter</t>
  </si>
  <si>
    <t>Tilbudte studiepoeng</t>
  </si>
  <si>
    <t>I prosent av totale kostnader</t>
  </si>
  <si>
    <t>I prosent av KDs satser</t>
  </si>
  <si>
    <t>Udekte kostnader</t>
  </si>
  <si>
    <t>Betaling per student</t>
  </si>
  <si>
    <t>Resultatbevilgning RFM</t>
  </si>
  <si>
    <t>Oppsummert</t>
  </si>
  <si>
    <t>Valgt unntak</t>
  </si>
  <si>
    <t>Valgt aktivitetstype</t>
  </si>
  <si>
    <t>Planlagte årsenheter</t>
  </si>
  <si>
    <t>Input</t>
  </si>
  <si>
    <t>1.</t>
  </si>
  <si>
    <t>2.</t>
  </si>
  <si>
    <t>3.</t>
  </si>
  <si>
    <t>Unntak i § 3-2 (1):</t>
  </si>
  <si>
    <t>Egenbetaling (studentbetaling)</t>
  </si>
  <si>
    <t>a)       Kurs</t>
  </si>
  <si>
    <t>X</t>
  </si>
  <si>
    <t xml:space="preserve">100 % av totale kostnader pluss margin for fortjeneste </t>
  </si>
  <si>
    <t>b)      Fag/emner som normalt ikke er en del av studieprogram som fører fram til grad eller yrkesutdanning</t>
  </si>
  <si>
    <t>Kan velge enten inntil 49 % av totale kostnader (ikke-økonomisk aktivitet), eller 100 % av totale kostnader pluss margin for fortjeneste (økonomisk aktivitet)</t>
  </si>
  <si>
    <t>c)       Erfaringsbaserte mastergradsstudier</t>
  </si>
  <si>
    <t>d)      Studenter som fyller opp ledige plasser på studieprogram eller fag/emner som er oppdragsfinansiert</t>
  </si>
  <si>
    <t>100 % av totale kostnader pluss margin for fortjeneste</t>
  </si>
  <si>
    <t>Kategori</t>
  </si>
  <si>
    <t>Beskrivelse</t>
  </si>
  <si>
    <t>Profesjonsstudiene i medisin og odontologi, veterinærstudiet, kunstakademiet (NTNU), film- og fjernsynsutdanning (HiL) og scenografi og skuespill (HiØ).</t>
  </si>
  <si>
    <t>Femårige masterprogram i arkitektur og industridesign, utøvende kunst- og musikkutdanninger på lavere og høyere grads nivå, grunnutdanning i produktdesign, grunnutdanning i animasjon, profesjonsstudiene i psykologi og farmasi, grunnutdanning i ortopediingeniør.</t>
  </si>
  <si>
    <t>Realfag, teknologi, fiskerifag og kunst på høyere grads nivå, faglærerutdanning i musikk, dans og drama.</t>
  </si>
  <si>
    <t>Humanistiske, samfunns- og idrettsvitenskapelige fag på høyere grads nivå, 5-årige masterprogram i teknologi, bibliotek, økonomi og administrasjon på høyere grads nivå. Grunnutdanning i fysioterapi, mensendieck, bioingeniør, ergoterapi, radiografi, audiograf, døvetolk, reseptar, tannteknikk, tannpleie, fotojournalist, jordmor, stråleterapi, ABIOK-utdanninger (videreutdanning i anestesi-, barne-, intensiv-, operasjons- og kreftsykepleie). Visuell kommunikasjon, tekniske mediefag (film- og fjernsynsproduksjon), grunnskolelærerutdanning, faglærerutdanning i kunst- og håndtverksfag, allmennlærerutdanning med fordyping i musikk, 5-årig integrert lærerutdanning, årsstudium i praktisk pedagogisk utdanning.</t>
  </si>
  <si>
    <t>Sykepleier-, vernepleier-, barnevernspedagog- , barnehagelærer-, yrkesfaglærer, journalist-, ingeniør- og dyrepleierutdanning. Profesjonsstudiet i juss, faglærerutdanning i praktisk estetiske fag, faglærerutdanning i kroppsøving. Teknologisk og maritim utdanning, realfag, idrettsfag, friluftsfag, kunstfag, landbruksfag, skogfag, husdyrfag og fiskerifag på lavere grads nivå. Videreutdanning i helsesøster, psykisk helse og tegnspråk.</t>
  </si>
  <si>
    <t>Humanistiske og samfunnsvitenskapelige fag på lavere grads nivå, økonomi og administrasjon på lavere grads nivå, revisor-, sosionom-, bibliotekarutdanning, reiseliv og ex.phil.</t>
  </si>
  <si>
    <t>4.</t>
  </si>
  <si>
    <t>5.</t>
  </si>
  <si>
    <t>Data legges inn i celler merket lys blå, i arket 'Input'. Celler uten denne fargen skal ikke røres</t>
  </si>
  <si>
    <t>Legg inn omfanget av studiepoeng aktiviteten medfører. F.eks. kan en master ha 120 studiepoeng, mens et enkeltemne kan ha 7,5 studiepoeng i omfang</t>
  </si>
  <si>
    <t>6.</t>
  </si>
  <si>
    <t>Legg inn antall studenter (antall hoder) som skal følge undervisningen</t>
  </si>
  <si>
    <t>7.</t>
  </si>
  <si>
    <t>Hvor stor andel av studentene tror man kommer til å gjennomføre aktiviteten med godkjent resultat</t>
  </si>
  <si>
    <t>8.</t>
  </si>
  <si>
    <t>I arkfanen 'Input' skal man legge inn data som beregningene utføres på bakgrunn av. Det er kun her man skal legge inn data</t>
  </si>
  <si>
    <t>i.</t>
  </si>
  <si>
    <t>ii.</t>
  </si>
  <si>
    <t>I arkfanen 'Oppsummert' får man en oversikt over resultatene fra beregningene, basert på hva man la inn i arket 'Input'</t>
  </si>
  <si>
    <t>iii.</t>
  </si>
  <si>
    <t>iv.</t>
  </si>
  <si>
    <t>Arkfanet 'Finansieringskategorier' er til informasjon</t>
  </si>
  <si>
    <t>Arkfanet 'Unntak i egenbetalingsforskriften' er til informasjon</t>
  </si>
  <si>
    <t>Nærmere om arkfanen 'Input'</t>
  </si>
  <si>
    <t>Bevilgning RFM per student</t>
  </si>
  <si>
    <t>Hvis man har beregnet totale kostnader for aktiviteten i TDI-modellen kan dette limes inn her. Hvis man ikke har beregnet dette lar man denne stå tom, og får en beregnet totalkostnad. For unntak a. Kurs må man lime inn en totalkostnad fra TDI-modellen</t>
  </si>
  <si>
    <t>Studiepoengbev RFM</t>
  </si>
  <si>
    <t>Kandidatbev RFM</t>
  </si>
  <si>
    <t>Ikke i bruk</t>
  </si>
  <si>
    <t>Basert på valgene man gjør vil noen celler bli skravert ut, som betyr at de ikke brukes i beregningene</t>
  </si>
  <si>
    <t>Velg hvilket unntak man vil gjøre en beregning for ved å bruke nedtrekksmenyen, se forklaring i arkfane 'Unntak i egenbetalingsforskriften'</t>
  </si>
  <si>
    <t>Velg om aktiviteten man skal gjennomføre er av økonomisk eller ikke-økonomisk art ved å bruke nedtrekksmenyen, se forklaring i arkfane 'Unntak i egenbetalingsforskriften'</t>
  </si>
  <si>
    <t>Velg den finansieringskategorien KD ville plassert denne aktiviteten i ved å bruke nedtrekksmenyen, se forklaring arkfane 'Finansieringskategorier'</t>
  </si>
  <si>
    <t>Eksempel på bruk av målsøking:</t>
  </si>
  <si>
    <t>--&gt;Gå til flippen 'Data' øverst i excel-vinduet</t>
  </si>
  <si>
    <t>Hvis man likevel ønsker å sette betaling per student til et gitt beløp må man gjøre dette ved å skru på egenfinansieringsprosenten.</t>
  </si>
  <si>
    <t>Man kan enten gjøre dette manuelt ved å prøve seg fram, eller ved å bruke målsøking. Husk likevel at egenfinansieringsprosenten er avgrenset til å være mellom 51 og 100 pst.</t>
  </si>
  <si>
    <t>--&gt; 'Hva-skjer-hvis-analyse'--&gt;'Målsøking'</t>
  </si>
  <si>
    <t>Gitt informasjonen som er lagt inn om finansieringskategori, tilbudte studiepoeng og antall studenter framkommer totale kostnader som basis + studiepoengbevilgning (+kandidatbevilgning for unntak c).</t>
  </si>
  <si>
    <t>Hvor:</t>
  </si>
  <si>
    <t>Basis = finansieringskategori basis*(tilbudte studiepoeng/60)*antall studenter</t>
  </si>
  <si>
    <t>Studiepoengbevilgning = finansieringskategori studiepoeng*(tilbudte studiepoeng/60)*antall studenter</t>
  </si>
  <si>
    <t>Tabellen under viser KDs finansieringskategorier:</t>
  </si>
  <si>
    <t>Totale kostnader KD-modellen framkommer som en konsekvens av valgene man har gjort i de blå input-cellene.</t>
  </si>
  <si>
    <t>Betaling per student er en funksjon av valgene man har gjort i de blå input-cellene.</t>
  </si>
  <si>
    <t>Kandidatbev KD</t>
  </si>
  <si>
    <t>Studiepoengbev KD</t>
  </si>
  <si>
    <t>Fortjeneste</t>
  </si>
  <si>
    <t>Kandidatbevilgning = finansieringskategori kandidater*(tilbudte studiepoeng/120)*antall studenter</t>
  </si>
  <si>
    <t>Merk at kandidatbevilgning kun gis etter fullført grad (120 studiepoeng), men den tas med i beregningen av totale kostnader selv om emnet f.eks. er på 7,5 studiepoeng. Det er da emnets andel (7,5/120) av kandidatbevilgningen som inkluderes i beregningen.</t>
  </si>
  <si>
    <t>Studiepoengsomfang erfaringsbasert master</t>
  </si>
  <si>
    <t>9.</t>
  </si>
  <si>
    <t>Hvis unntaket beskriver økonomisk aktivitet må man legge inn minst 5 prosent fortjeneste. Ved ikke-økonomisk aktivitet er ikke dette et valg</t>
  </si>
  <si>
    <t>Studiepoeng oppnådd grad</t>
  </si>
  <si>
    <t>10.</t>
  </si>
  <si>
    <t>Hvis unntak c. (Erfaringsbasert master) er valgt må man definere hvor mange studiepoeng som kreves for gradsoppnåelse. F.eks. kan omfanget være 120 studiepoeng</t>
  </si>
  <si>
    <t>Som nevnt under punkt 10. vil man få en beregnet total kostnad hvis man ikke fyller ut feltet 'Totale kostnader fra TDI', som vises i cellen 'Totale kostnader KD-modellen' (celle C17 i input-arket).</t>
  </si>
  <si>
    <t>--&gt; I spesifikasjonsvinduet som dukker opp setter man celle C26 (betaling per student) til ønsket beløp (f.eks. 20.000 kr), ved å endre celle F12 (egenfinansieringsprosenten).--&gt;Trykk 'Ok'.</t>
  </si>
  <si>
    <t>Velg hvilken egenfinansieringsprosent studieprogrammet aktiviteten skal gjennomføres innenfor har, ved å bruke nedtrekksmenyen. Denne kan ligge på  51 til 100 prosent</t>
  </si>
  <si>
    <t>2020-kr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</si>
</sst>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_-* #,##0_-;\-* #,##0_-;_-* &quot;-&quot;??_-;_-@_-"/>
    <numFmt numFmtId="166" formatCode="_-* #,##0.0_-;\-* #,##0.0_-;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sz val="14"/>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3">
    <xf numFmtId="0" fontId="0" fillId="0" borderId="0" xfId="0"/>
    <xf numFmtId="9" fontId="0" fillId="0" borderId="0" xfId="2" applyFont="1"/>
    <xf numFmtId="0" fontId="2" fillId="0" borderId="0" xfId="0" applyFont="1"/>
    <xf numFmtId="164" fontId="0" fillId="0" borderId="0" xfId="1" applyNumberFormat="1" applyFont="1"/>
    <xf numFmtId="164" fontId="2" fillId="0" borderId="0" xfId="1" applyNumberFormat="1" applyFont="1"/>
    <xf numFmtId="0" fontId="0" fillId="0" borderId="0" xfId="0" applyFont="1"/>
    <xf numFmtId="165" fontId="0" fillId="0" borderId="0" xfId="1" applyNumberFormat="1" applyFont="1"/>
    <xf numFmtId="165" fontId="2" fillId="0" borderId="0" xfId="1" applyNumberFormat="1" applyFont="1"/>
    <xf numFmtId="164" fontId="0" fillId="0" borderId="0" xfId="0" applyNumberFormat="1"/>
    <xf numFmtId="9" fontId="0" fillId="0" borderId="0" xfId="0" applyNumberFormat="1"/>
    <xf numFmtId="165" fontId="0" fillId="0" borderId="0" xfId="0" applyNumberFormat="1"/>
    <xf numFmtId="0" fontId="2" fillId="0" borderId="1" xfId="0" applyFont="1" applyBorder="1"/>
    <xf numFmtId="0" fontId="2" fillId="0" borderId="2" xfId="0" applyFont="1" applyBorder="1"/>
    <xf numFmtId="0" fontId="2" fillId="0" borderId="3" xfId="0" applyFont="1" applyBorder="1"/>
    <xf numFmtId="0" fontId="0" fillId="0" borderId="4" xfId="0" applyBorder="1"/>
    <xf numFmtId="165" fontId="0" fillId="0" borderId="0" xfId="1" applyNumberFormat="1" applyFont="1" applyBorder="1"/>
    <xf numFmtId="9" fontId="0" fillId="0" borderId="5" xfId="2" applyFont="1" applyBorder="1"/>
    <xf numFmtId="0" fontId="2" fillId="0" borderId="4" xfId="0" applyFont="1" applyBorder="1"/>
    <xf numFmtId="165" fontId="2" fillId="0" borderId="0" xfId="0" applyNumberFormat="1" applyFont="1" applyBorder="1"/>
    <xf numFmtId="9" fontId="2" fillId="0" borderId="5" xfId="0" applyNumberFormat="1" applyFont="1" applyBorder="1"/>
    <xf numFmtId="0" fontId="2" fillId="0" borderId="6" xfId="0" applyFont="1" applyBorder="1"/>
    <xf numFmtId="0" fontId="0" fillId="0" borderId="3" xfId="0" applyBorder="1"/>
    <xf numFmtId="165" fontId="0" fillId="2" borderId="5" xfId="1" applyNumberFormat="1" applyFont="1" applyFill="1" applyBorder="1"/>
    <xf numFmtId="0" fontId="0" fillId="0" borderId="6" xfId="0" applyBorder="1"/>
    <xf numFmtId="165" fontId="0" fillId="0" borderId="8" xfId="1" applyNumberFormat="1" applyFont="1" applyBorder="1"/>
    <xf numFmtId="0" fontId="0" fillId="2" borderId="0" xfId="0" applyFill="1" applyBorder="1" applyAlignment="1">
      <alignment wrapText="1"/>
    </xf>
    <xf numFmtId="0" fontId="0" fillId="2" borderId="0" xfId="0" applyFill="1" applyBorder="1"/>
    <xf numFmtId="9" fontId="1" fillId="2" borderId="0" xfId="2" applyFont="1" applyFill="1" applyBorder="1"/>
    <xf numFmtId="9" fontId="0" fillId="2" borderId="0" xfId="2" applyFont="1" applyFill="1" applyBorder="1"/>
    <xf numFmtId="0" fontId="0" fillId="0" borderId="5" xfId="0" applyBorder="1"/>
    <xf numFmtId="0" fontId="0" fillId="0" borderId="6" xfId="0" applyBorder="1" applyAlignment="1"/>
    <xf numFmtId="0" fontId="0" fillId="0" borderId="7" xfId="0" applyBorder="1"/>
    <xf numFmtId="0" fontId="0" fillId="0" borderId="8" xfId="0" applyBorder="1"/>
    <xf numFmtId="0" fontId="0" fillId="0" borderId="2" xfId="0" applyBorder="1"/>
    <xf numFmtId="0" fontId="0" fillId="0" borderId="4" xfId="0" applyFont="1" applyBorder="1"/>
    <xf numFmtId="0" fontId="0" fillId="0" borderId="0" xfId="0" applyBorder="1"/>
    <xf numFmtId="165" fontId="3" fillId="0" borderId="7" xfId="0" applyNumberFormat="1" applyFont="1" applyBorder="1"/>
    <xf numFmtId="9" fontId="3" fillId="0" borderId="8" xfId="2" applyFont="1" applyBorder="1"/>
    <xf numFmtId="0" fontId="0" fillId="0" borderId="11" xfId="0" applyFont="1" applyFill="1" applyBorder="1"/>
    <xf numFmtId="9" fontId="0" fillId="0" borderId="12" xfId="0" applyNumberFormat="1" applyBorder="1"/>
    <xf numFmtId="165" fontId="0" fillId="0" borderId="12" xfId="1" applyNumberFormat="1" applyFont="1" applyBorder="1"/>
    <xf numFmtId="0" fontId="0" fillId="0" borderId="13" xfId="0" applyFont="1" applyFill="1" applyBorder="1"/>
    <xf numFmtId="165" fontId="0" fillId="0" borderId="14" xfId="1" applyNumberFormat="1" applyFont="1" applyBorder="1"/>
    <xf numFmtId="0" fontId="5" fillId="0" borderId="11" xfId="0" applyFont="1" applyBorder="1" applyAlignment="1">
      <alignment horizontal="right"/>
    </xf>
    <xf numFmtId="165" fontId="5" fillId="0" borderId="12" xfId="1" applyNumberFormat="1" applyFont="1" applyBorder="1" applyAlignment="1">
      <alignment horizontal="center"/>
    </xf>
    <xf numFmtId="0" fontId="0" fillId="0" borderId="12" xfId="0" applyBorder="1" applyAlignment="1">
      <alignment wrapText="1"/>
    </xf>
    <xf numFmtId="0" fontId="0" fillId="0" borderId="12" xfId="0" applyFont="1" applyBorder="1" applyAlignment="1">
      <alignment wrapText="1"/>
    </xf>
    <xf numFmtId="9" fontId="0" fillId="2" borderId="0" xfId="2" applyFont="1" applyFill="1" applyBorder="1" applyAlignment="1">
      <alignment wrapText="1"/>
    </xf>
    <xf numFmtId="165" fontId="0" fillId="2" borderId="0" xfId="1" applyNumberFormat="1" applyFont="1" applyFill="1" applyBorder="1" applyAlignment="1">
      <alignment wrapText="1"/>
    </xf>
    <xf numFmtId="0" fontId="2" fillId="0" borderId="9" xfId="0" applyFont="1" applyBorder="1"/>
    <xf numFmtId="0" fontId="2" fillId="0" borderId="10" xfId="0" applyFont="1" applyBorder="1"/>
    <xf numFmtId="0" fontId="0" fillId="0" borderId="11" xfId="0" applyBorder="1"/>
    <xf numFmtId="0" fontId="0" fillId="0" borderId="13" xfId="0" applyBorder="1"/>
    <xf numFmtId="0" fontId="0" fillId="0" borderId="14" xfId="0" applyBorder="1" applyAlignment="1">
      <alignment wrapText="1"/>
    </xf>
    <xf numFmtId="0" fontId="2" fillId="0" borderId="15" xfId="0" applyFont="1" applyBorder="1"/>
    <xf numFmtId="0" fontId="0" fillId="0" borderId="16" xfId="0" applyBorder="1"/>
    <xf numFmtId="0" fontId="0" fillId="0" borderId="11" xfId="0" applyBorder="1" applyAlignment="1">
      <alignment wrapText="1"/>
    </xf>
    <xf numFmtId="0" fontId="0" fillId="0" borderId="13" xfId="0" applyBorder="1" applyAlignment="1">
      <alignment wrapText="1"/>
    </xf>
    <xf numFmtId="0" fontId="0" fillId="0" borderId="1" xfId="0" applyFont="1" applyFill="1" applyBorder="1"/>
    <xf numFmtId="165" fontId="0" fillId="0" borderId="3" xfId="0" applyNumberFormat="1" applyFont="1" applyBorder="1"/>
    <xf numFmtId="0" fontId="0" fillId="0" borderId="6" xfId="0" applyFont="1" applyFill="1" applyBorder="1"/>
    <xf numFmtId="165" fontId="0" fillId="0" borderId="8" xfId="0" applyNumberFormat="1" applyFont="1" applyBorder="1"/>
    <xf numFmtId="0" fontId="2" fillId="3" borderId="1" xfId="0" applyFont="1" applyFill="1" applyBorder="1"/>
    <xf numFmtId="0" fontId="2" fillId="3" borderId="2" xfId="0" applyFont="1" applyFill="1" applyBorder="1"/>
    <xf numFmtId="0" fontId="2" fillId="3" borderId="3" xfId="0" applyFont="1" applyFill="1" applyBorder="1"/>
    <xf numFmtId="0" fontId="0" fillId="3" borderId="4" xfId="0" applyFill="1" applyBorder="1"/>
    <xf numFmtId="0" fontId="0" fillId="2" borderId="4" xfId="0" applyFill="1" applyBorder="1" applyAlignment="1">
      <alignment horizontal="center" wrapText="1"/>
    </xf>
    <xf numFmtId="0" fontId="0" fillId="2" borderId="0" xfId="0" applyFill="1" applyBorder="1" applyAlignment="1">
      <alignment horizontal="center" wrapText="1"/>
    </xf>
    <xf numFmtId="0" fontId="0" fillId="2" borderId="0" xfId="0" applyFill="1" applyBorder="1" applyAlignment="1">
      <alignment horizontal="center"/>
    </xf>
    <xf numFmtId="0" fontId="2" fillId="3" borderId="0" xfId="0" applyFont="1" applyFill="1" applyBorder="1"/>
    <xf numFmtId="0" fontId="0" fillId="0" borderId="0" xfId="0" quotePrefix="1"/>
    <xf numFmtId="166" fontId="0" fillId="0" borderId="12" xfId="1" applyNumberFormat="1" applyFont="1" applyBorder="1"/>
    <xf numFmtId="0" fontId="5" fillId="0" borderId="0" xfId="0" applyFont="1"/>
    <xf numFmtId="2" fontId="0" fillId="0" borderId="0" xfId="0" applyNumberFormat="1"/>
    <xf numFmtId="166" fontId="0" fillId="2" borderId="0" xfId="1" applyNumberFormat="1" applyFont="1" applyFill="1" applyBorder="1" applyAlignment="1">
      <alignment wrapText="1"/>
    </xf>
    <xf numFmtId="0" fontId="4" fillId="0" borderId="0" xfId="0" applyFont="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cellXfs>
  <cellStyles count="3">
    <cellStyle name="Komma" xfId="1" builtinId="3"/>
    <cellStyle name="Normal" xfId="0" builtinId="0"/>
    <cellStyle name="Prosent" xfId="2" builtinId="5"/>
  </cellStyles>
  <dxfs count="8">
    <dxf>
      <fill>
        <patternFill patternType="lightDown">
          <bgColor theme="6" tint="0.59996337778862885"/>
        </patternFill>
      </fill>
    </dxf>
    <dxf>
      <fill>
        <patternFill patternType="lightDown">
          <bgColor theme="6" tint="0.59996337778862885"/>
        </patternFill>
      </fill>
    </dxf>
    <dxf>
      <fill>
        <patternFill patternType="lightDown">
          <bgColor theme="6" tint="0.59996337778862885"/>
        </patternFill>
      </fill>
    </dxf>
    <dxf>
      <fill>
        <patternFill patternType="lightDown">
          <bgColor theme="0" tint="-0.14996795556505021"/>
        </patternFill>
      </fill>
    </dxf>
    <dxf>
      <fill>
        <patternFill patternType="lightDown">
          <bgColor theme="0" tint="-0.14996795556505021"/>
        </patternFill>
      </fill>
    </dxf>
    <dxf>
      <fill>
        <patternFill patternType="lightDown">
          <bgColor theme="6" tint="0.59996337778862885"/>
        </patternFill>
      </fill>
    </dxf>
    <dxf>
      <fill>
        <patternFill patternType="lightDown">
          <bgColor theme="0" tint="-0.14996795556505021"/>
        </patternFill>
      </fill>
    </dxf>
    <dxf>
      <fill>
        <patternFill patternType="lightDown">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Kostnader</a:t>
            </a:r>
            <a:r>
              <a:rPr lang="nb-NO" baseline="0"/>
              <a:t>, inntekter og udekte kostnader</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0"/>
          <c:order val="0"/>
          <c:tx>
            <c:strRef>
              <c:f>Figurberegning!$C$1</c:f>
              <c:strCache>
                <c:ptCount val="1"/>
                <c:pt idx="0">
                  <c:v>Kostnader</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Figurberegning!$C$2:$C$4</c:f>
              <c:numCache>
                <c:formatCode>_-* #\ ##0_-;\-* #\ ##0_-;_-* "-"??_-;_-@_-</c:formatCode>
                <c:ptCount val="3"/>
                <c:pt idx="0">
                  <c:v>4603958.333333333</c:v>
                </c:pt>
              </c:numCache>
            </c:numRef>
          </c:val>
          <c:extLst>
            <c:ext xmlns:c16="http://schemas.microsoft.com/office/drawing/2014/chart" uri="{C3380CC4-5D6E-409C-BE32-E72D297353CC}">
              <c16:uniqueId val="{00000000-B5B7-4AD6-B7E5-4F77EEA733CA}"/>
            </c:ext>
          </c:extLst>
        </c:ser>
        <c:ser>
          <c:idx val="2"/>
          <c:order val="2"/>
          <c:tx>
            <c:strRef>
              <c:f>Figurberegning!$E$1</c:f>
              <c:strCache>
                <c:ptCount val="1"/>
                <c:pt idx="0">
                  <c:v>Studentbetaling</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Figurberegning!$E$2:$E$4</c:f>
              <c:numCache>
                <c:formatCode>_-* #\ ##0_-;\-* #\ ##0_-;_-* "-"??_-;_-@_-</c:formatCode>
                <c:ptCount val="3"/>
                <c:pt idx="1">
                  <c:v>2255939.583333333</c:v>
                </c:pt>
              </c:numCache>
            </c:numRef>
          </c:val>
          <c:extLst>
            <c:ext xmlns:c16="http://schemas.microsoft.com/office/drawing/2014/chart" uri="{C3380CC4-5D6E-409C-BE32-E72D297353CC}">
              <c16:uniqueId val="{00000001-B5B7-4AD6-B7E5-4F77EEA733CA}"/>
            </c:ext>
          </c:extLst>
        </c:ser>
        <c:ser>
          <c:idx val="3"/>
          <c:order val="3"/>
          <c:tx>
            <c:strRef>
              <c:f>Figurberegning!$F$1</c:f>
              <c:strCache>
                <c:ptCount val="1"/>
                <c:pt idx="0">
                  <c:v>Resultatbev RFM</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Figurberegning!$F$2:$F$4</c:f>
              <c:numCache>
                <c:formatCode>_-* #\ ##0_-;\-* #\ ##0_-;_-* "-"??_-;_-@_-</c:formatCode>
                <c:ptCount val="3"/>
                <c:pt idx="1">
                  <c:v>700665.625</c:v>
                </c:pt>
              </c:numCache>
            </c:numRef>
          </c:val>
          <c:extLst>
            <c:ext xmlns:c16="http://schemas.microsoft.com/office/drawing/2014/chart" uri="{C3380CC4-5D6E-409C-BE32-E72D297353CC}">
              <c16:uniqueId val="{00000002-B5B7-4AD6-B7E5-4F77EEA733CA}"/>
            </c:ext>
          </c:extLst>
        </c:ser>
        <c:ser>
          <c:idx val="4"/>
          <c:order val="4"/>
          <c:tx>
            <c:strRef>
              <c:f>Figurberegning!$G$1</c:f>
              <c:strCache>
                <c:ptCount val="1"/>
                <c:pt idx="0">
                  <c:v>Udekte kostnader</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Figurberegning!$G$2:$G$4</c:f>
              <c:numCache>
                <c:formatCode>General</c:formatCode>
                <c:ptCount val="3"/>
                <c:pt idx="2" formatCode="_-* #\ ##0_-;\-* #\ ##0_-;_-* &quot;-&quot;??_-;_-@_-">
                  <c:v>1647353.125</c:v>
                </c:pt>
              </c:numCache>
            </c:numRef>
          </c:val>
          <c:extLst>
            <c:ext xmlns:c16="http://schemas.microsoft.com/office/drawing/2014/chart" uri="{C3380CC4-5D6E-409C-BE32-E72D297353CC}">
              <c16:uniqueId val="{00000003-B5B7-4AD6-B7E5-4F77EEA733CA}"/>
            </c:ext>
          </c:extLst>
        </c:ser>
        <c:dLbls>
          <c:dLblPos val="ctr"/>
          <c:showLegendKey val="0"/>
          <c:showVal val="1"/>
          <c:showCatName val="0"/>
          <c:showSerName val="0"/>
          <c:showPercent val="0"/>
          <c:showBubbleSize val="0"/>
        </c:dLbls>
        <c:gapWidth val="150"/>
        <c:overlap val="100"/>
        <c:axId val="369958824"/>
        <c:axId val="369959480"/>
        <c:extLst>
          <c:ext xmlns:c15="http://schemas.microsoft.com/office/drawing/2012/chart" uri="{02D57815-91ED-43cb-92C2-25804820EDAC}">
            <c15:filteredBarSeries>
              <c15:ser>
                <c:idx val="1"/>
                <c:order val="1"/>
                <c:tx>
                  <c:strRef>
                    <c:extLst>
                      <c:ext uri="{02D57815-91ED-43cb-92C2-25804820EDAC}">
                        <c15:formulaRef>
                          <c15:sqref>Figurberegning!$D$1</c15:sqref>
                        </c15:formulaRef>
                      </c:ext>
                    </c:extLst>
                    <c:strCache>
                      <c:ptCount val="1"/>
                      <c:pt idx="0">
                        <c:v>Kostnadsdekning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Figurberegning!$B$2:$B$4</c15:sqref>
                        </c15:formulaRef>
                      </c:ext>
                    </c:extLst>
                    <c:strCache>
                      <c:ptCount val="3"/>
                      <c:pt idx="0">
                        <c:v>Kostnader</c:v>
                      </c:pt>
                      <c:pt idx="1">
                        <c:v>Inntekter</c:v>
                      </c:pt>
                      <c:pt idx="2">
                        <c:v>Udekte kostnader</c:v>
                      </c:pt>
                    </c:strCache>
                  </c:strRef>
                </c:cat>
                <c:val>
                  <c:numRef>
                    <c:extLst>
                      <c:ext uri="{02D57815-91ED-43cb-92C2-25804820EDAC}">
                        <c15:formulaRef>
                          <c15:sqref>Figurberegning!$D$2:$D$4</c15:sqref>
                        </c15:formulaRef>
                      </c:ext>
                    </c:extLst>
                    <c:numCache>
                      <c:formatCode>0%</c:formatCode>
                      <c:ptCount val="3"/>
                      <c:pt idx="0">
                        <c:v>0.64218765555002488</c:v>
                      </c:pt>
                    </c:numCache>
                  </c:numRef>
                </c:val>
                <c:extLst>
                  <c:ext xmlns:c16="http://schemas.microsoft.com/office/drawing/2014/chart" uri="{C3380CC4-5D6E-409C-BE32-E72D297353CC}">
                    <c16:uniqueId val="{00000004-B5B7-4AD6-B7E5-4F77EEA733CA}"/>
                  </c:ext>
                </c:extLst>
              </c15:ser>
            </c15:filteredBarSeries>
          </c:ext>
        </c:extLst>
      </c:barChart>
      <c:catAx>
        <c:axId val="3699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9480"/>
        <c:crosses val="autoZero"/>
        <c:auto val="1"/>
        <c:lblAlgn val="ctr"/>
        <c:lblOffset val="100"/>
        <c:noMultiLvlLbl val="0"/>
      </c:catAx>
      <c:valAx>
        <c:axId val="369959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8824"/>
        <c:crosses val="autoZero"/>
        <c:crossBetween val="between"/>
      </c:valAx>
      <c:spPr>
        <a:noFill/>
        <a:ln>
          <a:noFill/>
        </a:ln>
        <a:effectLst/>
      </c:spPr>
    </c:plotArea>
    <c:legend>
      <c:legendPos val="b"/>
      <c:legendEntry>
        <c:idx val="0"/>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Kostnadsfordeling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5025-4038-8F25-6CCD36487174}"/>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5025-4038-8F25-6CCD36487174}"/>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5025-4038-8F25-6CCD36487174}"/>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nb-N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(Input!$B$20:$B$21,Input!$B$23)</c:f>
              <c:strCache>
                <c:ptCount val="3"/>
                <c:pt idx="0">
                  <c:v>Studentbetaling</c:v>
                </c:pt>
                <c:pt idx="1">
                  <c:v>Resultatbev RFM</c:v>
                </c:pt>
                <c:pt idx="2">
                  <c:v>Udekte kostnader</c:v>
                </c:pt>
              </c:strCache>
            </c:strRef>
          </c:cat>
          <c:val>
            <c:numRef>
              <c:f>(Input!$D$20:$D$21,Input!$D$23)</c:f>
              <c:numCache>
                <c:formatCode>0%</c:formatCode>
                <c:ptCount val="3"/>
                <c:pt idx="0">
                  <c:v>0.49</c:v>
                </c:pt>
                <c:pt idx="1">
                  <c:v>0.15218765555002489</c:v>
                </c:pt>
                <c:pt idx="2">
                  <c:v>0.35781234444997512</c:v>
                </c:pt>
              </c:numCache>
            </c:numRef>
          </c:val>
          <c:extLst>
            <c:ext xmlns:c16="http://schemas.microsoft.com/office/drawing/2014/chart" uri="{C3380CC4-5D6E-409C-BE32-E72D297353CC}">
              <c16:uniqueId val="{00000006-5025-4038-8F25-6CCD3648717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Kostnader</a:t>
            </a:r>
            <a:r>
              <a:rPr lang="nb-NO" baseline="0"/>
              <a:t>, inntekter og udekte kostnader</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barChart>
        <c:barDir val="col"/>
        <c:grouping val="stacked"/>
        <c:varyColors val="0"/>
        <c:ser>
          <c:idx val="0"/>
          <c:order val="0"/>
          <c:tx>
            <c:strRef>
              <c:f>Figurberegning!$C$1</c:f>
              <c:strCache>
                <c:ptCount val="1"/>
                <c:pt idx="0">
                  <c:v>Kostnader</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Figurberegning!$C$2:$C$4</c:f>
              <c:numCache>
                <c:formatCode>_-* #\ ##0_-;\-* #\ ##0_-;_-* "-"??_-;_-@_-</c:formatCode>
                <c:ptCount val="3"/>
                <c:pt idx="0">
                  <c:v>4603958.333333333</c:v>
                </c:pt>
              </c:numCache>
            </c:numRef>
          </c:val>
          <c:extLst>
            <c:ext xmlns:c16="http://schemas.microsoft.com/office/drawing/2014/chart" uri="{C3380CC4-5D6E-409C-BE32-E72D297353CC}">
              <c16:uniqueId val="{00000000-93F6-4835-91EB-A7EFD85A7244}"/>
            </c:ext>
          </c:extLst>
        </c:ser>
        <c:ser>
          <c:idx val="2"/>
          <c:order val="2"/>
          <c:tx>
            <c:strRef>
              <c:f>Figurberegning!$E$1</c:f>
              <c:strCache>
                <c:ptCount val="1"/>
                <c:pt idx="0">
                  <c:v>Studentbetaling</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Figurberegning!$E$2:$E$4</c:f>
              <c:numCache>
                <c:formatCode>_-* #\ ##0_-;\-* #\ ##0_-;_-* "-"??_-;_-@_-</c:formatCode>
                <c:ptCount val="3"/>
                <c:pt idx="1">
                  <c:v>2255939.583333333</c:v>
                </c:pt>
              </c:numCache>
            </c:numRef>
          </c:val>
          <c:extLst>
            <c:ext xmlns:c16="http://schemas.microsoft.com/office/drawing/2014/chart" uri="{C3380CC4-5D6E-409C-BE32-E72D297353CC}">
              <c16:uniqueId val="{00000001-93F6-4835-91EB-A7EFD85A7244}"/>
            </c:ext>
          </c:extLst>
        </c:ser>
        <c:ser>
          <c:idx val="3"/>
          <c:order val="3"/>
          <c:tx>
            <c:strRef>
              <c:f>Figurberegning!$F$1</c:f>
              <c:strCache>
                <c:ptCount val="1"/>
                <c:pt idx="0">
                  <c:v>Resultatbev RFM</c:v>
                </c:pt>
              </c:strCache>
            </c:strRef>
          </c:tx>
          <c:spPr>
            <a:solidFill>
              <a:schemeClr val="accent4"/>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Figurberegning!$F$2:$F$4</c:f>
              <c:numCache>
                <c:formatCode>_-* #\ ##0_-;\-* #\ ##0_-;_-* "-"??_-;_-@_-</c:formatCode>
                <c:ptCount val="3"/>
                <c:pt idx="1">
                  <c:v>700665.625</c:v>
                </c:pt>
              </c:numCache>
            </c:numRef>
          </c:val>
          <c:extLst>
            <c:ext xmlns:c16="http://schemas.microsoft.com/office/drawing/2014/chart" uri="{C3380CC4-5D6E-409C-BE32-E72D297353CC}">
              <c16:uniqueId val="{00000002-93F6-4835-91EB-A7EFD85A7244}"/>
            </c:ext>
          </c:extLst>
        </c:ser>
        <c:ser>
          <c:idx val="4"/>
          <c:order val="4"/>
          <c:tx>
            <c:strRef>
              <c:f>Figurberegning!$G$1</c:f>
              <c:strCache>
                <c:ptCount val="1"/>
                <c:pt idx="0">
                  <c:v>Udekte kostnader</c:v>
                </c:pt>
              </c:strCache>
            </c:strRef>
          </c:tx>
          <c:spPr>
            <a:solidFill>
              <a:schemeClr val="accent5"/>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Figurberegning!$B$2:$B$4</c:f>
              <c:strCache>
                <c:ptCount val="3"/>
                <c:pt idx="0">
                  <c:v>Kostnader</c:v>
                </c:pt>
                <c:pt idx="1">
                  <c:v>Inntekter</c:v>
                </c:pt>
                <c:pt idx="2">
                  <c:v>Udekte kostnader</c:v>
                </c:pt>
              </c:strCache>
            </c:strRef>
          </c:cat>
          <c:val>
            <c:numRef>
              <c:f>Figurberegning!$G$2:$G$4</c:f>
              <c:numCache>
                <c:formatCode>General</c:formatCode>
                <c:ptCount val="3"/>
                <c:pt idx="2" formatCode="_-* #\ ##0_-;\-* #\ ##0_-;_-* &quot;-&quot;??_-;_-@_-">
                  <c:v>1647353.125</c:v>
                </c:pt>
              </c:numCache>
            </c:numRef>
          </c:val>
          <c:extLst>
            <c:ext xmlns:c16="http://schemas.microsoft.com/office/drawing/2014/chart" uri="{C3380CC4-5D6E-409C-BE32-E72D297353CC}">
              <c16:uniqueId val="{00000003-93F6-4835-91EB-A7EFD85A7244}"/>
            </c:ext>
          </c:extLst>
        </c:ser>
        <c:dLbls>
          <c:dLblPos val="ctr"/>
          <c:showLegendKey val="0"/>
          <c:showVal val="1"/>
          <c:showCatName val="0"/>
          <c:showSerName val="0"/>
          <c:showPercent val="0"/>
          <c:showBubbleSize val="0"/>
        </c:dLbls>
        <c:gapWidth val="150"/>
        <c:overlap val="100"/>
        <c:axId val="369958824"/>
        <c:axId val="369959480"/>
        <c:extLst>
          <c:ext xmlns:c15="http://schemas.microsoft.com/office/drawing/2012/chart" uri="{02D57815-91ED-43cb-92C2-25804820EDAC}">
            <c15:filteredBarSeries>
              <c15:ser>
                <c:idx val="1"/>
                <c:order val="1"/>
                <c:tx>
                  <c:strRef>
                    <c:extLst>
                      <c:ext uri="{02D57815-91ED-43cb-92C2-25804820EDAC}">
                        <c15:formulaRef>
                          <c15:sqref>Figurberegning!$D$1</c15:sqref>
                        </c15:formulaRef>
                      </c:ext>
                    </c:extLst>
                    <c:strCache>
                      <c:ptCount val="1"/>
                      <c:pt idx="0">
                        <c:v>Kostnadsdekning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b-NO"/>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Figurberegning!$B$2:$B$4</c15:sqref>
                        </c15:formulaRef>
                      </c:ext>
                    </c:extLst>
                    <c:strCache>
                      <c:ptCount val="3"/>
                      <c:pt idx="0">
                        <c:v>Kostnader</c:v>
                      </c:pt>
                      <c:pt idx="1">
                        <c:v>Inntekter</c:v>
                      </c:pt>
                      <c:pt idx="2">
                        <c:v>Udekte kostnader</c:v>
                      </c:pt>
                    </c:strCache>
                  </c:strRef>
                </c:cat>
                <c:val>
                  <c:numRef>
                    <c:extLst>
                      <c:ext uri="{02D57815-91ED-43cb-92C2-25804820EDAC}">
                        <c15:formulaRef>
                          <c15:sqref>Figurberegning!$D$2:$D$4</c15:sqref>
                        </c15:formulaRef>
                      </c:ext>
                    </c:extLst>
                    <c:numCache>
                      <c:formatCode>0%</c:formatCode>
                      <c:ptCount val="3"/>
                      <c:pt idx="0">
                        <c:v>0.64218765555002488</c:v>
                      </c:pt>
                    </c:numCache>
                  </c:numRef>
                </c:val>
                <c:extLst>
                  <c:ext xmlns:c16="http://schemas.microsoft.com/office/drawing/2014/chart" uri="{C3380CC4-5D6E-409C-BE32-E72D297353CC}">
                    <c16:uniqueId val="{00000004-93F6-4835-91EB-A7EFD85A7244}"/>
                  </c:ext>
                </c:extLst>
              </c15:ser>
            </c15:filteredBarSeries>
          </c:ext>
        </c:extLst>
      </c:barChart>
      <c:catAx>
        <c:axId val="3699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9480"/>
        <c:crosses val="autoZero"/>
        <c:auto val="1"/>
        <c:lblAlgn val="ctr"/>
        <c:lblOffset val="100"/>
        <c:noMultiLvlLbl val="0"/>
      </c:catAx>
      <c:valAx>
        <c:axId val="3699594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8824"/>
        <c:crosses val="autoZero"/>
        <c:crossBetween val="between"/>
      </c:valAx>
      <c:spPr>
        <a:noFill/>
        <a:ln>
          <a:noFill/>
        </a:ln>
        <a:effectLst/>
      </c:spPr>
    </c:plotArea>
    <c:legend>
      <c:legendPos val="b"/>
      <c:legendEntry>
        <c:idx val="0"/>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Kostnadsfordeling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chemeClr val="bg1">
                  <a:lumMod val="65000"/>
                </a:schemeClr>
              </a:solidFill>
              <a:ln w="19050">
                <a:solidFill>
                  <a:schemeClr val="lt1"/>
                </a:solidFill>
              </a:ln>
              <a:effectLst/>
            </c:spPr>
            <c:extLst>
              <c:ext xmlns:c16="http://schemas.microsoft.com/office/drawing/2014/chart" uri="{C3380CC4-5D6E-409C-BE32-E72D297353CC}">
                <c16:uniqueId val="{00000001-40AB-43B2-A316-3E4BB588957F}"/>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03-40AB-43B2-A316-3E4BB588957F}"/>
              </c:ext>
            </c:extLst>
          </c:dPt>
          <c:dPt>
            <c:idx val="2"/>
            <c:bubble3D val="0"/>
            <c:spPr>
              <a:solidFill>
                <a:schemeClr val="accent5">
                  <a:lumMod val="75000"/>
                </a:schemeClr>
              </a:solidFill>
              <a:ln w="19050">
                <a:solidFill>
                  <a:schemeClr val="lt1"/>
                </a:solidFill>
              </a:ln>
              <a:effectLst/>
            </c:spPr>
            <c:extLst>
              <c:ext xmlns:c16="http://schemas.microsoft.com/office/drawing/2014/chart" uri="{C3380CC4-5D6E-409C-BE32-E72D297353CC}">
                <c16:uniqueId val="{00000005-40AB-43B2-A316-3E4BB588957F}"/>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nb-N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(Input!$B$20:$B$21,Input!$B$23)</c:f>
              <c:strCache>
                <c:ptCount val="3"/>
                <c:pt idx="0">
                  <c:v>Studentbetaling</c:v>
                </c:pt>
                <c:pt idx="1">
                  <c:v>Resultatbev RFM</c:v>
                </c:pt>
                <c:pt idx="2">
                  <c:v>Udekte kostnader</c:v>
                </c:pt>
              </c:strCache>
            </c:strRef>
          </c:cat>
          <c:val>
            <c:numRef>
              <c:f>(Input!$D$20:$D$21,Input!$D$23)</c:f>
              <c:numCache>
                <c:formatCode>0%</c:formatCode>
                <c:ptCount val="3"/>
                <c:pt idx="0">
                  <c:v>0.49</c:v>
                </c:pt>
                <c:pt idx="1">
                  <c:v>0.15218765555002489</c:v>
                </c:pt>
                <c:pt idx="2">
                  <c:v>0.35781234444997512</c:v>
                </c:pt>
              </c:numCache>
            </c:numRef>
          </c:val>
          <c:extLst>
            <c:ext xmlns:c16="http://schemas.microsoft.com/office/drawing/2014/chart" uri="{C3380CC4-5D6E-409C-BE32-E72D297353CC}">
              <c16:uniqueId val="{00000006-40AB-43B2-A316-3E4BB588957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Figurberegning!$C$1</c:f>
              <c:strCache>
                <c:ptCount val="1"/>
                <c:pt idx="0">
                  <c:v>Kostnader</c:v>
                </c:pt>
              </c:strCache>
            </c:strRef>
          </c:tx>
          <c:spPr>
            <a:solidFill>
              <a:schemeClr val="accent1"/>
            </a:solidFill>
            <a:ln>
              <a:noFill/>
            </a:ln>
            <a:effectLst/>
          </c:spPr>
          <c:invertIfNegative val="0"/>
          <c:cat>
            <c:strRef>
              <c:f>Figurberegning!$B$2:$B$4</c:f>
              <c:strCache>
                <c:ptCount val="3"/>
                <c:pt idx="0">
                  <c:v>Kostnader</c:v>
                </c:pt>
                <c:pt idx="1">
                  <c:v>Inntekter</c:v>
                </c:pt>
                <c:pt idx="2">
                  <c:v>Udekte kostnader</c:v>
                </c:pt>
              </c:strCache>
            </c:strRef>
          </c:cat>
          <c:val>
            <c:numRef>
              <c:f>Figurberegning!$C$2:$C$4</c:f>
              <c:numCache>
                <c:formatCode>_-* #\ ##0_-;\-* #\ ##0_-;_-* "-"??_-;_-@_-</c:formatCode>
                <c:ptCount val="3"/>
                <c:pt idx="0">
                  <c:v>4603958.333333333</c:v>
                </c:pt>
              </c:numCache>
            </c:numRef>
          </c:val>
          <c:extLst>
            <c:ext xmlns:c16="http://schemas.microsoft.com/office/drawing/2014/chart" uri="{C3380CC4-5D6E-409C-BE32-E72D297353CC}">
              <c16:uniqueId val="{00000000-F6A5-4B83-AD05-1AA773521FAB}"/>
            </c:ext>
          </c:extLst>
        </c:ser>
        <c:ser>
          <c:idx val="2"/>
          <c:order val="2"/>
          <c:tx>
            <c:strRef>
              <c:f>Figurberegning!$E$1</c:f>
              <c:strCache>
                <c:ptCount val="1"/>
                <c:pt idx="0">
                  <c:v>Studentbetaling</c:v>
                </c:pt>
              </c:strCache>
            </c:strRef>
          </c:tx>
          <c:spPr>
            <a:solidFill>
              <a:schemeClr val="accent3"/>
            </a:solidFill>
            <a:ln>
              <a:noFill/>
            </a:ln>
            <a:effectLst/>
          </c:spPr>
          <c:invertIfNegative val="0"/>
          <c:cat>
            <c:strRef>
              <c:f>Figurberegning!$B$2:$B$4</c:f>
              <c:strCache>
                <c:ptCount val="3"/>
                <c:pt idx="0">
                  <c:v>Kostnader</c:v>
                </c:pt>
                <c:pt idx="1">
                  <c:v>Inntekter</c:v>
                </c:pt>
                <c:pt idx="2">
                  <c:v>Udekte kostnader</c:v>
                </c:pt>
              </c:strCache>
            </c:strRef>
          </c:cat>
          <c:val>
            <c:numRef>
              <c:f>Figurberegning!$E$2:$E$4</c:f>
              <c:numCache>
                <c:formatCode>_-* #\ ##0_-;\-* #\ ##0_-;_-* "-"??_-;_-@_-</c:formatCode>
                <c:ptCount val="3"/>
                <c:pt idx="1">
                  <c:v>2255939.583333333</c:v>
                </c:pt>
              </c:numCache>
            </c:numRef>
          </c:val>
          <c:extLst>
            <c:ext xmlns:c16="http://schemas.microsoft.com/office/drawing/2014/chart" uri="{C3380CC4-5D6E-409C-BE32-E72D297353CC}">
              <c16:uniqueId val="{00000002-F6A5-4B83-AD05-1AA773521FAB}"/>
            </c:ext>
          </c:extLst>
        </c:ser>
        <c:ser>
          <c:idx val="3"/>
          <c:order val="3"/>
          <c:tx>
            <c:strRef>
              <c:f>Figurberegning!$F$1</c:f>
              <c:strCache>
                <c:ptCount val="1"/>
                <c:pt idx="0">
                  <c:v>Resultatbev RFM</c:v>
                </c:pt>
              </c:strCache>
            </c:strRef>
          </c:tx>
          <c:spPr>
            <a:solidFill>
              <a:schemeClr val="accent4"/>
            </a:solidFill>
            <a:ln>
              <a:noFill/>
            </a:ln>
            <a:effectLst/>
          </c:spPr>
          <c:invertIfNegative val="0"/>
          <c:cat>
            <c:strRef>
              <c:f>Figurberegning!$B$2:$B$4</c:f>
              <c:strCache>
                <c:ptCount val="3"/>
                <c:pt idx="0">
                  <c:v>Kostnader</c:v>
                </c:pt>
                <c:pt idx="1">
                  <c:v>Inntekter</c:v>
                </c:pt>
                <c:pt idx="2">
                  <c:v>Udekte kostnader</c:v>
                </c:pt>
              </c:strCache>
            </c:strRef>
          </c:cat>
          <c:val>
            <c:numRef>
              <c:f>Figurberegning!$F$2:$F$4</c:f>
              <c:numCache>
                <c:formatCode>_-* #\ ##0_-;\-* #\ ##0_-;_-* "-"??_-;_-@_-</c:formatCode>
                <c:ptCount val="3"/>
                <c:pt idx="1">
                  <c:v>700665.625</c:v>
                </c:pt>
              </c:numCache>
            </c:numRef>
          </c:val>
          <c:extLst>
            <c:ext xmlns:c16="http://schemas.microsoft.com/office/drawing/2014/chart" uri="{C3380CC4-5D6E-409C-BE32-E72D297353CC}">
              <c16:uniqueId val="{00000003-F6A5-4B83-AD05-1AA773521FAB}"/>
            </c:ext>
          </c:extLst>
        </c:ser>
        <c:ser>
          <c:idx val="4"/>
          <c:order val="4"/>
          <c:tx>
            <c:strRef>
              <c:f>Figurberegning!$G$1</c:f>
              <c:strCache>
                <c:ptCount val="1"/>
                <c:pt idx="0">
                  <c:v>Udekte kostnader</c:v>
                </c:pt>
              </c:strCache>
            </c:strRef>
          </c:tx>
          <c:spPr>
            <a:solidFill>
              <a:schemeClr val="accent5"/>
            </a:solidFill>
            <a:ln>
              <a:noFill/>
            </a:ln>
            <a:effectLst/>
          </c:spPr>
          <c:invertIfNegative val="0"/>
          <c:cat>
            <c:strRef>
              <c:f>Figurberegning!$B$2:$B$4</c:f>
              <c:strCache>
                <c:ptCount val="3"/>
                <c:pt idx="0">
                  <c:v>Kostnader</c:v>
                </c:pt>
                <c:pt idx="1">
                  <c:v>Inntekter</c:v>
                </c:pt>
                <c:pt idx="2">
                  <c:v>Udekte kostnader</c:v>
                </c:pt>
              </c:strCache>
            </c:strRef>
          </c:cat>
          <c:val>
            <c:numRef>
              <c:f>Figurberegning!$G$2:$G$4</c:f>
              <c:numCache>
                <c:formatCode>General</c:formatCode>
                <c:ptCount val="3"/>
                <c:pt idx="2" formatCode="_-* #\ ##0_-;\-* #\ ##0_-;_-* &quot;-&quot;??_-;_-@_-">
                  <c:v>1647353.125</c:v>
                </c:pt>
              </c:numCache>
            </c:numRef>
          </c:val>
          <c:extLst>
            <c:ext xmlns:c16="http://schemas.microsoft.com/office/drawing/2014/chart" uri="{C3380CC4-5D6E-409C-BE32-E72D297353CC}">
              <c16:uniqueId val="{00000004-F6A5-4B83-AD05-1AA773521FAB}"/>
            </c:ext>
          </c:extLst>
        </c:ser>
        <c:dLbls>
          <c:showLegendKey val="0"/>
          <c:showVal val="0"/>
          <c:showCatName val="0"/>
          <c:showSerName val="0"/>
          <c:showPercent val="0"/>
          <c:showBubbleSize val="0"/>
        </c:dLbls>
        <c:gapWidth val="150"/>
        <c:overlap val="100"/>
        <c:axId val="369958824"/>
        <c:axId val="369959480"/>
        <c:extLst>
          <c:ext xmlns:c15="http://schemas.microsoft.com/office/drawing/2012/chart" uri="{02D57815-91ED-43cb-92C2-25804820EDAC}">
            <c15:filteredBarSeries>
              <c15:ser>
                <c:idx val="1"/>
                <c:order val="1"/>
                <c:tx>
                  <c:strRef>
                    <c:extLst>
                      <c:ext uri="{02D57815-91ED-43cb-92C2-25804820EDAC}">
                        <c15:formulaRef>
                          <c15:sqref>Figurberegning!$D$1</c15:sqref>
                        </c15:formulaRef>
                      </c:ext>
                    </c:extLst>
                    <c:strCache>
                      <c:ptCount val="1"/>
                      <c:pt idx="0">
                        <c:v>Kostnadsdekning</c:v>
                      </c:pt>
                    </c:strCache>
                  </c:strRef>
                </c:tx>
                <c:spPr>
                  <a:solidFill>
                    <a:schemeClr val="accent2"/>
                  </a:solidFill>
                  <a:ln>
                    <a:noFill/>
                  </a:ln>
                  <a:effectLst/>
                </c:spPr>
                <c:invertIfNegative val="0"/>
                <c:cat>
                  <c:strRef>
                    <c:extLst>
                      <c:ext uri="{02D57815-91ED-43cb-92C2-25804820EDAC}">
                        <c15:formulaRef>
                          <c15:sqref>Figurberegning!$B$2:$B$4</c15:sqref>
                        </c15:formulaRef>
                      </c:ext>
                    </c:extLst>
                    <c:strCache>
                      <c:ptCount val="3"/>
                      <c:pt idx="0">
                        <c:v>Kostnader</c:v>
                      </c:pt>
                      <c:pt idx="1">
                        <c:v>Inntekter</c:v>
                      </c:pt>
                      <c:pt idx="2">
                        <c:v>Udekte kostnader</c:v>
                      </c:pt>
                    </c:strCache>
                  </c:strRef>
                </c:cat>
                <c:val>
                  <c:numRef>
                    <c:extLst>
                      <c:ext uri="{02D57815-91ED-43cb-92C2-25804820EDAC}">
                        <c15:formulaRef>
                          <c15:sqref>Figurberegning!$D$2:$D$4</c15:sqref>
                        </c15:formulaRef>
                      </c:ext>
                    </c:extLst>
                    <c:numCache>
                      <c:formatCode>0%</c:formatCode>
                      <c:ptCount val="3"/>
                      <c:pt idx="0">
                        <c:v>0.64218765555002488</c:v>
                      </c:pt>
                    </c:numCache>
                  </c:numRef>
                </c:val>
                <c:extLst>
                  <c:ext xmlns:c16="http://schemas.microsoft.com/office/drawing/2014/chart" uri="{C3380CC4-5D6E-409C-BE32-E72D297353CC}">
                    <c16:uniqueId val="{00000001-F6A5-4B83-AD05-1AA773521FAB}"/>
                  </c:ext>
                </c:extLst>
              </c15:ser>
            </c15:filteredBarSeries>
          </c:ext>
        </c:extLst>
      </c:barChart>
      <c:catAx>
        <c:axId val="369958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9480"/>
        <c:crosses val="autoZero"/>
        <c:auto val="1"/>
        <c:lblAlgn val="ctr"/>
        <c:lblOffset val="100"/>
        <c:noMultiLvlLbl val="0"/>
      </c:catAx>
      <c:valAx>
        <c:axId val="369959480"/>
        <c:scaling>
          <c:orientation val="minMax"/>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369958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68</xdr:row>
      <xdr:rowOff>171450</xdr:rowOff>
    </xdr:from>
    <xdr:to>
      <xdr:col>0</xdr:col>
      <xdr:colOff>695242</xdr:colOff>
      <xdr:row>74</xdr:row>
      <xdr:rowOff>85593</xdr:rowOff>
    </xdr:to>
    <xdr:pic>
      <xdr:nvPicPr>
        <xdr:cNvPr id="2" name="Bild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575" y="8458200"/>
          <a:ext cx="666667" cy="1057143"/>
        </a:xfrm>
        <a:prstGeom prst="rect">
          <a:avLst/>
        </a:prstGeom>
      </xdr:spPr>
    </xdr:pic>
    <xdr:clientData/>
  </xdr:twoCellAnchor>
  <xdr:twoCellAnchor editAs="oneCell">
    <xdr:from>
      <xdr:col>0</xdr:col>
      <xdr:colOff>0</xdr:colOff>
      <xdr:row>76</xdr:row>
      <xdr:rowOff>0</xdr:rowOff>
    </xdr:from>
    <xdr:to>
      <xdr:col>1</xdr:col>
      <xdr:colOff>257048</xdr:colOff>
      <xdr:row>81</xdr:row>
      <xdr:rowOff>104643</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9810750"/>
          <a:ext cx="1019048" cy="1057143"/>
        </a:xfrm>
        <a:prstGeom prst="rect">
          <a:avLst/>
        </a:prstGeom>
      </xdr:spPr>
    </xdr:pic>
    <xdr:clientData/>
  </xdr:twoCellAnchor>
  <xdr:twoCellAnchor editAs="oneCell">
    <xdr:from>
      <xdr:col>0</xdr:col>
      <xdr:colOff>28575</xdr:colOff>
      <xdr:row>83</xdr:row>
      <xdr:rowOff>104775</xdr:rowOff>
    </xdr:from>
    <xdr:to>
      <xdr:col>1</xdr:col>
      <xdr:colOff>1266575</xdr:colOff>
      <xdr:row>90</xdr:row>
      <xdr:rowOff>95085</xdr:rowOff>
    </xdr:to>
    <xdr:pic>
      <xdr:nvPicPr>
        <xdr:cNvPr id="5" name="Bild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28575" y="16059150"/>
          <a:ext cx="2000000" cy="1323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990599</xdr:colOff>
      <xdr:row>16</xdr:row>
      <xdr:rowOff>142876</xdr:rowOff>
    </xdr:from>
    <xdr:to>
      <xdr:col>12</xdr:col>
      <xdr:colOff>409574</xdr:colOff>
      <xdr:row>35</xdr:row>
      <xdr:rowOff>171450</xdr:rowOff>
    </xdr:to>
    <xdr:graphicFrame macro="">
      <xdr:nvGraphicFramePr>
        <xdr:cNvPr id="4" name="Diagram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361950</xdr:colOff>
      <xdr:row>16</xdr:row>
      <xdr:rowOff>142875</xdr:rowOff>
    </xdr:from>
    <xdr:to>
      <xdr:col>7</xdr:col>
      <xdr:colOff>952500</xdr:colOff>
      <xdr:row>36</xdr:row>
      <xdr:rowOff>0</xdr:rowOff>
    </xdr:to>
    <xdr:graphicFrame macro="">
      <xdr:nvGraphicFramePr>
        <xdr:cNvPr id="5" name="Diagram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542924</xdr:colOff>
      <xdr:row>17</xdr:row>
      <xdr:rowOff>1</xdr:rowOff>
    </xdr:from>
    <xdr:to>
      <xdr:col>10</xdr:col>
      <xdr:colOff>704849</xdr:colOff>
      <xdr:row>36</xdr:row>
      <xdr:rowOff>28575</xdr:rowOff>
    </xdr:to>
    <xdr:graphicFrame macro="">
      <xdr:nvGraphicFramePr>
        <xdr:cNvPr id="6" name="Diagram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17</xdr:row>
      <xdr:rowOff>0</xdr:rowOff>
    </xdr:from>
    <xdr:to>
      <xdr:col>3</xdr:col>
      <xdr:colOff>504825</xdr:colOff>
      <xdr:row>36</xdr:row>
      <xdr:rowOff>47625</xdr:rowOff>
    </xdr:to>
    <xdr:graphicFrame macro="">
      <xdr:nvGraphicFramePr>
        <xdr:cNvPr id="7" name="Diagram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295274</xdr:colOff>
      <xdr:row>7</xdr:row>
      <xdr:rowOff>38099</xdr:rowOff>
    </xdr:from>
    <xdr:to>
      <xdr:col>13</xdr:col>
      <xdr:colOff>761999</xdr:colOff>
      <xdr:row>28</xdr:row>
      <xdr:rowOff>123824</xdr:rowOff>
    </xdr:to>
    <xdr:graphicFrame macro="">
      <xdr:nvGraphicFramePr>
        <xdr:cNvPr id="4" name="Diagram 3">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83"/>
  <sheetViews>
    <sheetView tabSelected="1" workbookViewId="0"/>
  </sheetViews>
  <sheetFormatPr baseColWidth="10" defaultRowHeight="15" x14ac:dyDescent="0.25"/>
  <cols>
    <col min="2" max="2" width="23.85546875" bestFit="1" customWidth="1"/>
    <col min="3" max="3" width="16.140625" customWidth="1"/>
    <col min="4" max="4" width="17.140625" customWidth="1"/>
  </cols>
  <sheetData>
    <row r="2" spans="1:7" x14ac:dyDescent="0.25">
      <c r="A2" t="s">
        <v>93</v>
      </c>
      <c r="B2" t="s">
        <v>92</v>
      </c>
    </row>
    <row r="3" spans="1:7" x14ac:dyDescent="0.25">
      <c r="A3" t="s">
        <v>94</v>
      </c>
      <c r="B3" t="s">
        <v>95</v>
      </c>
    </row>
    <row r="4" spans="1:7" x14ac:dyDescent="0.25">
      <c r="A4" t="s">
        <v>96</v>
      </c>
      <c r="B4" t="s">
        <v>99</v>
      </c>
    </row>
    <row r="5" spans="1:7" x14ac:dyDescent="0.25">
      <c r="A5" t="s">
        <v>97</v>
      </c>
      <c r="B5" t="s">
        <v>98</v>
      </c>
    </row>
    <row r="7" spans="1:7" ht="18.75" x14ac:dyDescent="0.3">
      <c r="A7" s="75" t="s">
        <v>100</v>
      </c>
      <c r="B7" s="75"/>
      <c r="C7" s="75"/>
      <c r="D7" s="75"/>
      <c r="E7" s="75"/>
      <c r="F7" s="75"/>
      <c r="G7" s="75"/>
    </row>
    <row r="8" spans="1:7" x14ac:dyDescent="0.25">
      <c r="B8" s="26" t="s">
        <v>61</v>
      </c>
      <c r="C8" t="s">
        <v>85</v>
      </c>
    </row>
    <row r="10" spans="1:7" x14ac:dyDescent="0.25">
      <c r="B10" s="28" t="s">
        <v>105</v>
      </c>
      <c r="C10" t="s">
        <v>106</v>
      </c>
    </row>
    <row r="12" spans="1:7" x14ac:dyDescent="0.25">
      <c r="B12" s="69" t="s">
        <v>24</v>
      </c>
    </row>
    <row r="13" spans="1:7" x14ac:dyDescent="0.25">
      <c r="A13" t="s">
        <v>62</v>
      </c>
      <c r="B13" s="25" t="s">
        <v>32</v>
      </c>
      <c r="C13" t="s">
        <v>107</v>
      </c>
    </row>
    <row r="15" spans="1:7" ht="15" customHeight="1" x14ac:dyDescent="0.25">
      <c r="B15" s="69" t="s">
        <v>25</v>
      </c>
    </row>
    <row r="16" spans="1:7" x14ac:dyDescent="0.25">
      <c r="A16" t="s">
        <v>63</v>
      </c>
      <c r="B16" s="25" t="s">
        <v>30</v>
      </c>
      <c r="C16" t="s">
        <v>108</v>
      </c>
    </row>
    <row r="18" spans="1:3" x14ac:dyDescent="0.25">
      <c r="B18" s="69" t="s">
        <v>124</v>
      </c>
    </row>
    <row r="19" spans="1:3" x14ac:dyDescent="0.25">
      <c r="A19" t="s">
        <v>64</v>
      </c>
      <c r="B19" s="47">
        <v>0.05</v>
      </c>
      <c r="C19" t="s">
        <v>129</v>
      </c>
    </row>
    <row r="21" spans="1:3" ht="15" customHeight="1" x14ac:dyDescent="0.25">
      <c r="B21" s="69" t="s">
        <v>13</v>
      </c>
    </row>
    <row r="22" spans="1:3" x14ac:dyDescent="0.25">
      <c r="A22" t="s">
        <v>83</v>
      </c>
      <c r="B22" s="25" t="s">
        <v>7</v>
      </c>
      <c r="C22" t="s">
        <v>109</v>
      </c>
    </row>
    <row r="24" spans="1:3" x14ac:dyDescent="0.25">
      <c r="B24" s="69" t="s">
        <v>0</v>
      </c>
    </row>
    <row r="25" spans="1:3" x14ac:dyDescent="0.25">
      <c r="A25" t="s">
        <v>84</v>
      </c>
      <c r="B25" s="47">
        <v>0.8</v>
      </c>
      <c r="C25" t="s">
        <v>135</v>
      </c>
    </row>
    <row r="27" spans="1:3" x14ac:dyDescent="0.25">
      <c r="B27" s="69" t="s">
        <v>51</v>
      </c>
    </row>
    <row r="28" spans="1:3" x14ac:dyDescent="0.25">
      <c r="A28" t="s">
        <v>87</v>
      </c>
      <c r="B28" s="74">
        <v>7.5</v>
      </c>
      <c r="C28" t="s">
        <v>86</v>
      </c>
    </row>
    <row r="30" spans="1:3" x14ac:dyDescent="0.25">
      <c r="B30" s="69" t="s">
        <v>130</v>
      </c>
    </row>
    <row r="31" spans="1:3" x14ac:dyDescent="0.25">
      <c r="A31" t="s">
        <v>89</v>
      </c>
      <c r="B31" s="48">
        <v>120</v>
      </c>
      <c r="C31" t="s">
        <v>132</v>
      </c>
    </row>
    <row r="33" spans="1:7" x14ac:dyDescent="0.25">
      <c r="B33" s="69" t="s">
        <v>39</v>
      </c>
    </row>
    <row r="34" spans="1:7" x14ac:dyDescent="0.25">
      <c r="A34" t="s">
        <v>91</v>
      </c>
      <c r="B34" s="48">
        <v>20</v>
      </c>
      <c r="C34" t="s">
        <v>88</v>
      </c>
    </row>
    <row r="36" spans="1:7" x14ac:dyDescent="0.25">
      <c r="B36" s="69" t="s">
        <v>43</v>
      </c>
    </row>
    <row r="37" spans="1:7" x14ac:dyDescent="0.25">
      <c r="A37" t="s">
        <v>128</v>
      </c>
      <c r="B37" s="47">
        <v>1</v>
      </c>
      <c r="C37" t="s">
        <v>90</v>
      </c>
    </row>
    <row r="39" spans="1:7" x14ac:dyDescent="0.25">
      <c r="B39" s="69" t="s">
        <v>15</v>
      </c>
    </row>
    <row r="40" spans="1:7" x14ac:dyDescent="0.25">
      <c r="A40" t="s">
        <v>131</v>
      </c>
      <c r="B40" s="26" t="s">
        <v>23</v>
      </c>
      <c r="C40" t="s">
        <v>102</v>
      </c>
    </row>
    <row r="43" spans="1:7" ht="18.75" x14ac:dyDescent="0.3">
      <c r="A43" s="75" t="s">
        <v>12</v>
      </c>
      <c r="B43" s="75"/>
      <c r="C43" s="75"/>
      <c r="D43" s="75"/>
      <c r="E43" s="75"/>
      <c r="F43" s="75"/>
      <c r="G43" s="75"/>
    </row>
    <row r="44" spans="1:7" x14ac:dyDescent="0.25">
      <c r="A44" t="s">
        <v>133</v>
      </c>
    </row>
    <row r="45" spans="1:7" x14ac:dyDescent="0.25">
      <c r="A45" t="s">
        <v>120</v>
      </c>
    </row>
    <row r="46" spans="1:7" x14ac:dyDescent="0.25">
      <c r="A46" t="s">
        <v>115</v>
      </c>
    </row>
    <row r="47" spans="1:7" x14ac:dyDescent="0.25">
      <c r="A47" t="s">
        <v>116</v>
      </c>
    </row>
    <row r="48" spans="1:7" x14ac:dyDescent="0.25">
      <c r="A48" t="s">
        <v>117</v>
      </c>
    </row>
    <row r="49" spans="1:7" x14ac:dyDescent="0.25">
      <c r="A49" t="s">
        <v>118</v>
      </c>
    </row>
    <row r="50" spans="1:7" x14ac:dyDescent="0.25">
      <c r="A50" t="s">
        <v>125</v>
      </c>
    </row>
    <row r="51" spans="1:7" x14ac:dyDescent="0.25">
      <c r="A51" s="72" t="s">
        <v>126</v>
      </c>
    </row>
    <row r="53" spans="1:7" x14ac:dyDescent="0.25">
      <c r="A53" t="s">
        <v>119</v>
      </c>
    </row>
    <row r="54" spans="1:7" x14ac:dyDescent="0.25">
      <c r="A54" s="2" t="s">
        <v>3</v>
      </c>
      <c r="B54" s="2" t="s">
        <v>46</v>
      </c>
      <c r="C54" s="2" t="s">
        <v>47</v>
      </c>
      <c r="D54" s="2" t="s">
        <v>48</v>
      </c>
    </row>
    <row r="55" spans="1:7" x14ac:dyDescent="0.25">
      <c r="A55" t="s">
        <v>4</v>
      </c>
      <c r="B55" s="6">
        <v>236000</v>
      </c>
      <c r="C55" s="6">
        <v>129000</v>
      </c>
      <c r="D55" s="6">
        <v>98000</v>
      </c>
    </row>
    <row r="56" spans="1:7" x14ac:dyDescent="0.25">
      <c r="A56" t="s">
        <v>5</v>
      </c>
      <c r="B56" s="6">
        <v>178000</v>
      </c>
      <c r="C56" s="6">
        <v>99000</v>
      </c>
      <c r="D56" s="6">
        <v>74000</v>
      </c>
    </row>
    <row r="57" spans="1:7" x14ac:dyDescent="0.25">
      <c r="A57" t="s">
        <v>6</v>
      </c>
      <c r="B57" s="6">
        <v>121000</v>
      </c>
      <c r="C57" s="6">
        <v>66000</v>
      </c>
      <c r="D57" s="6">
        <v>49000</v>
      </c>
    </row>
    <row r="58" spans="1:7" x14ac:dyDescent="0.25">
      <c r="A58" t="s">
        <v>7</v>
      </c>
      <c r="B58" s="6">
        <v>85000</v>
      </c>
      <c r="C58" s="6">
        <v>48000</v>
      </c>
      <c r="D58" s="6">
        <v>37000</v>
      </c>
    </row>
    <row r="59" spans="1:7" x14ac:dyDescent="0.25">
      <c r="A59" t="s">
        <v>8</v>
      </c>
      <c r="B59" s="6">
        <v>73000</v>
      </c>
      <c r="C59" s="6">
        <v>39000</v>
      </c>
      <c r="D59" s="6">
        <v>30000</v>
      </c>
    </row>
    <row r="60" spans="1:7" x14ac:dyDescent="0.25">
      <c r="A60" t="s">
        <v>9</v>
      </c>
      <c r="B60" s="6">
        <v>61000</v>
      </c>
      <c r="C60" s="6">
        <v>33000</v>
      </c>
      <c r="D60" s="6">
        <v>25000</v>
      </c>
    </row>
    <row r="63" spans="1:7" ht="18.75" x14ac:dyDescent="0.3">
      <c r="A63" s="75" t="s">
        <v>55</v>
      </c>
      <c r="B63" s="75"/>
      <c r="C63" s="75"/>
      <c r="D63" s="75"/>
      <c r="E63" s="75"/>
      <c r="F63" s="75"/>
      <c r="G63" s="75"/>
    </row>
    <row r="64" spans="1:7" x14ac:dyDescent="0.25">
      <c r="A64" t="s">
        <v>121</v>
      </c>
    </row>
    <row r="65" spans="1:1" x14ac:dyDescent="0.25">
      <c r="A65" t="s">
        <v>112</v>
      </c>
    </row>
    <row r="66" spans="1:1" x14ac:dyDescent="0.25">
      <c r="A66" t="s">
        <v>113</v>
      </c>
    </row>
    <row r="68" spans="1:1" x14ac:dyDescent="0.25">
      <c r="A68" s="2" t="s">
        <v>110</v>
      </c>
    </row>
    <row r="69" spans="1:1" x14ac:dyDescent="0.25">
      <c r="A69" s="70" t="s">
        <v>111</v>
      </c>
    </row>
    <row r="76" spans="1:1" x14ac:dyDescent="0.25">
      <c r="A76" s="70" t="s">
        <v>114</v>
      </c>
    </row>
    <row r="83" spans="1:1" x14ac:dyDescent="0.25">
      <c r="A83" s="70" t="s">
        <v>134</v>
      </c>
    </row>
  </sheetData>
  <mergeCells count="3">
    <mergeCell ref="A7:G7"/>
    <mergeCell ref="A63:G63"/>
    <mergeCell ref="A43:G43"/>
  </mergeCells>
  <conditionalFormatting sqref="B10">
    <cfRule type="expression" dxfId="7" priority="2">
      <formula>$B$12=$A$2</formula>
    </cfRule>
  </conditionalFormatting>
  <conditionalFormatting sqref="B10">
    <cfRule type="expression" dxfId="6" priority="1">
      <formula>$C$12=$A$9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workbookViewId="0">
      <selection activeCell="N38" sqref="N38"/>
    </sheetView>
  </sheetViews>
  <sheetFormatPr baseColWidth="10" defaultRowHeight="15" x14ac:dyDescent="0.25"/>
  <cols>
    <col min="2" max="2" width="28.140625" customWidth="1"/>
    <col min="3" max="3" width="16.42578125" customWidth="1"/>
    <col min="4" max="4" width="26.7109375" bestFit="1" customWidth="1"/>
    <col min="5" max="5" width="20.140625" bestFit="1" customWidth="1"/>
    <col min="6" max="6" width="23.85546875" bestFit="1" customWidth="1"/>
    <col min="7" max="7" width="20.140625" bestFit="1" customWidth="1"/>
    <col min="8" max="8" width="25.140625" bestFit="1" customWidth="1"/>
    <col min="9" max="9" width="15.42578125" bestFit="1" customWidth="1"/>
    <col min="10" max="10" width="22.5703125" bestFit="1" customWidth="1"/>
    <col min="11" max="11" width="16.5703125" bestFit="1" customWidth="1"/>
  </cols>
  <sheetData>
    <row r="1" spans="1:11" x14ac:dyDescent="0.25">
      <c r="A1" s="78" t="s">
        <v>24</v>
      </c>
      <c r="B1" s="79"/>
      <c r="C1" s="33"/>
      <c r="D1" s="33"/>
      <c r="E1" s="21"/>
    </row>
    <row r="2" spans="1:11" x14ac:dyDescent="0.25">
      <c r="A2" s="34" t="s">
        <v>31</v>
      </c>
      <c r="B2" s="35" t="s">
        <v>17</v>
      </c>
      <c r="C2" s="35"/>
      <c r="D2" s="35"/>
      <c r="E2" s="29"/>
    </row>
    <row r="3" spans="1:11" x14ac:dyDescent="0.25">
      <c r="A3" s="34" t="s">
        <v>32</v>
      </c>
      <c r="B3" s="35" t="s">
        <v>18</v>
      </c>
      <c r="C3" s="35"/>
      <c r="D3" s="35"/>
      <c r="E3" s="29"/>
    </row>
    <row r="4" spans="1:11" x14ac:dyDescent="0.25">
      <c r="A4" s="34" t="s">
        <v>33</v>
      </c>
      <c r="B4" s="35" t="s">
        <v>19</v>
      </c>
      <c r="C4" s="35"/>
      <c r="D4" s="35"/>
      <c r="E4" s="29"/>
    </row>
    <row r="5" spans="1:11" x14ac:dyDescent="0.25">
      <c r="A5" s="34" t="s">
        <v>34</v>
      </c>
      <c r="B5" s="35" t="s">
        <v>20</v>
      </c>
      <c r="C5" s="35"/>
      <c r="D5" s="35"/>
      <c r="E5" s="29"/>
    </row>
    <row r="6" spans="1:11" x14ac:dyDescent="0.25">
      <c r="A6" s="34"/>
      <c r="B6" s="35"/>
      <c r="C6" s="35"/>
      <c r="D6" s="35"/>
      <c r="E6" s="29"/>
    </row>
    <row r="7" spans="1:11" x14ac:dyDescent="0.25">
      <c r="A7" s="76" t="s">
        <v>25</v>
      </c>
      <c r="B7" s="77"/>
      <c r="C7" s="35"/>
      <c r="D7" s="35"/>
      <c r="E7" s="29"/>
    </row>
    <row r="8" spans="1:11" x14ac:dyDescent="0.25">
      <c r="A8" s="14" t="s">
        <v>30</v>
      </c>
      <c r="B8" s="35" t="s">
        <v>21</v>
      </c>
      <c r="C8" s="35"/>
      <c r="D8" s="35"/>
      <c r="E8" s="29"/>
    </row>
    <row r="9" spans="1:11" x14ac:dyDescent="0.25">
      <c r="A9" s="23" t="s">
        <v>29</v>
      </c>
      <c r="B9" s="31" t="s">
        <v>22</v>
      </c>
      <c r="C9" s="31"/>
      <c r="D9" s="31"/>
      <c r="E9" s="32"/>
    </row>
    <row r="11" spans="1:11" s="2" customFormat="1" x14ac:dyDescent="0.25">
      <c r="B11" s="62" t="s">
        <v>24</v>
      </c>
      <c r="C11" s="63" t="s">
        <v>25</v>
      </c>
      <c r="D11" s="63" t="s">
        <v>124</v>
      </c>
      <c r="E11" s="63" t="s">
        <v>13</v>
      </c>
      <c r="F11" s="63" t="s">
        <v>0</v>
      </c>
      <c r="G11" s="63" t="s">
        <v>51</v>
      </c>
      <c r="H11" s="63" t="s">
        <v>130</v>
      </c>
      <c r="I11" s="63" t="s">
        <v>39</v>
      </c>
      <c r="J11" s="63" t="s">
        <v>43</v>
      </c>
      <c r="K11" s="64" t="s">
        <v>11</v>
      </c>
    </row>
    <row r="12" spans="1:11" x14ac:dyDescent="0.25">
      <c r="B12" s="66" t="s">
        <v>33</v>
      </c>
      <c r="C12" s="67" t="s">
        <v>30</v>
      </c>
      <c r="D12" s="27">
        <v>0.05</v>
      </c>
      <c r="E12" s="68" t="s">
        <v>7</v>
      </c>
      <c r="F12" s="27">
        <v>0.51</v>
      </c>
      <c r="G12" s="26">
        <v>7.5</v>
      </c>
      <c r="H12" s="26">
        <v>90</v>
      </c>
      <c r="I12" s="26">
        <v>220</v>
      </c>
      <c r="J12" s="28">
        <v>1</v>
      </c>
      <c r="K12" s="29">
        <f>(G12/60)*I12*J12</f>
        <v>27.5</v>
      </c>
    </row>
    <row r="13" spans="1:11" x14ac:dyDescent="0.25">
      <c r="B13" s="30" t="str">
        <f>IFERROR(VLOOKUP(B12,$A$2:$B$5,2,FALSE),"Velg et unntak over")</f>
        <v>Erfaringsbaserte mastergradsstudier</v>
      </c>
      <c r="C13" s="31"/>
      <c r="D13" s="31"/>
      <c r="E13" s="31"/>
      <c r="F13" s="31"/>
      <c r="G13" s="31"/>
      <c r="H13" s="31"/>
      <c r="I13" s="31"/>
      <c r="J13" s="31"/>
      <c r="K13" s="32"/>
    </row>
    <row r="15" spans="1:11" x14ac:dyDescent="0.25">
      <c r="B15" s="11" t="s">
        <v>15</v>
      </c>
      <c r="C15" s="21"/>
    </row>
    <row r="16" spans="1:11" x14ac:dyDescent="0.25">
      <c r="B16" s="65" t="s">
        <v>23</v>
      </c>
      <c r="C16" s="22"/>
    </row>
    <row r="17" spans="2:4" x14ac:dyDescent="0.25">
      <c r="B17" s="23" t="s">
        <v>26</v>
      </c>
      <c r="C17" s="24">
        <f>IFERROR(IF(C12="","",IF(C16=0,VLOOKUP(B12,Beregninger!$B$2:$D$5,3,FALSE),"")),"")</f>
        <v>4603958.333333333</v>
      </c>
    </row>
    <row r="19" spans="2:4" s="2" customFormat="1" x14ac:dyDescent="0.25">
      <c r="B19" s="11" t="s">
        <v>16</v>
      </c>
      <c r="C19" s="12"/>
      <c r="D19" s="13" t="s">
        <v>52</v>
      </c>
    </row>
    <row r="20" spans="2:4" x14ac:dyDescent="0.25">
      <c r="B20" s="14" t="s">
        <v>2</v>
      </c>
      <c r="C20" s="15">
        <f>IFERROR(IF(C12="","",VLOOKUP(B12,Beregninger!$B$2:$E$5,4,FALSE)),"")</f>
        <v>2255939.583333333</v>
      </c>
      <c r="D20" s="16">
        <f>IFERROR(IF($C$16="",C20/$C$17,C20/$C$16),"")</f>
        <v>0.49</v>
      </c>
    </row>
    <row r="21" spans="2:4" x14ac:dyDescent="0.25">
      <c r="B21" s="14" t="s">
        <v>44</v>
      </c>
      <c r="C21" s="15">
        <f>IFERROR(VLOOKUP(B12,Beregninger!$B$2:$F$5,5,FALSE),"")</f>
        <v>700665.625</v>
      </c>
      <c r="D21" s="16">
        <f>IFERROR(IF($C$16="",C21/$C$17,C21/$C$16),"")</f>
        <v>0.15218765555002489</v>
      </c>
    </row>
    <row r="22" spans="2:4" x14ac:dyDescent="0.25">
      <c r="B22" s="17" t="s">
        <v>50</v>
      </c>
      <c r="C22" s="18">
        <f>SUM(C20:C21)</f>
        <v>2956605.208333333</v>
      </c>
      <c r="D22" s="19">
        <f>SUM(D20:D21)</f>
        <v>0.64218765555002488</v>
      </c>
    </row>
    <row r="23" spans="2:4" x14ac:dyDescent="0.25">
      <c r="B23" s="20" t="s">
        <v>54</v>
      </c>
      <c r="C23" s="36">
        <f>IFERROR(Figurberegning!C2-Input!C22,"")</f>
        <v>1647353.125</v>
      </c>
      <c r="D23" s="37">
        <f>IFERROR(IF($C$16="",C23/$C$17,C23/$C$16),"")</f>
        <v>0.35781234444997512</v>
      </c>
    </row>
    <row r="26" spans="2:4" x14ac:dyDescent="0.25">
      <c r="B26" s="58" t="s">
        <v>55</v>
      </c>
      <c r="C26" s="59">
        <f>IFERROR(C20/I12,"")</f>
        <v>10254.270833333332</v>
      </c>
    </row>
    <row r="27" spans="2:4" x14ac:dyDescent="0.25">
      <c r="B27" s="60" t="s">
        <v>101</v>
      </c>
      <c r="C27" s="61">
        <f>IFERROR(C21/I12,"")</f>
        <v>3184.84375</v>
      </c>
    </row>
    <row r="32" spans="2:4" x14ac:dyDescent="0.25">
      <c r="C32" s="1"/>
    </row>
    <row r="37" spans="9:9" x14ac:dyDescent="0.25">
      <c r="I37" s="3"/>
    </row>
  </sheetData>
  <mergeCells count="2">
    <mergeCell ref="A7:B7"/>
    <mergeCell ref="A1:B1"/>
  </mergeCells>
  <conditionalFormatting sqref="J12 D12:G12">
    <cfRule type="expression" dxfId="5" priority="6">
      <formula>$B$12=$A$2</formula>
    </cfRule>
  </conditionalFormatting>
  <conditionalFormatting sqref="F12">
    <cfRule type="expression" dxfId="4" priority="5">
      <formula>$C$12=$A$9</formula>
    </cfRule>
  </conditionalFormatting>
  <conditionalFormatting sqref="D12">
    <cfRule type="expression" dxfId="3" priority="4">
      <formula>$C$12=$A$8</formula>
    </cfRule>
  </conditionalFormatting>
  <conditionalFormatting sqref="H12">
    <cfRule type="expression" dxfId="2" priority="2">
      <formula>$B$12&lt;&gt;$A$4</formula>
    </cfRule>
    <cfRule type="expression" dxfId="1" priority="3">
      <formula>$B$12=$A$2</formula>
    </cfRule>
  </conditionalFormatting>
  <conditionalFormatting sqref="J12">
    <cfRule type="expression" dxfId="0" priority="1">
      <formula>$C$12=$A$9</formula>
    </cfRule>
  </conditionalFormatting>
  <dataValidations count="3">
    <dataValidation type="list" allowBlank="1" showInputMessage="1" showErrorMessage="1" sqref="B12" xr:uid="{00000000-0002-0000-0100-000000000000}">
      <formula1>IF(C12="", Aktivitetstype, INDIRECT($C$12))</formula1>
    </dataValidation>
    <dataValidation type="list" allowBlank="1" showInputMessage="1" showErrorMessage="1" sqref="C12" xr:uid="{00000000-0002-0000-0100-000001000000}">
      <formula1>INDIRECT(B12)</formula1>
    </dataValidation>
    <dataValidation type="list" allowBlank="1" showInputMessage="1" showErrorMessage="1" sqref="E12" xr:uid="{00000000-0002-0000-0100-000002000000}">
      <formula1>Finanskat</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Def!$A$2:$A$7</xm:f>
          </x14:formula1>
          <xm:sqref>E13</xm:sqref>
        </x14:dataValidation>
        <x14:dataValidation type="list" allowBlank="1" showInputMessage="1" showErrorMessage="1" xr:uid="{00000000-0002-0000-0100-000004000000}">
          <x14:formula1>
            <xm:f>Def!$P$2:$P$51</xm:f>
          </x14:formula1>
          <xm:sqref>F12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workbookViewId="0">
      <selection activeCell="N18" sqref="N18"/>
    </sheetView>
  </sheetViews>
  <sheetFormatPr baseColWidth="10" defaultRowHeight="15" x14ac:dyDescent="0.25"/>
  <cols>
    <col min="3" max="3" width="15.5703125" bestFit="1" customWidth="1"/>
    <col min="4" max="4" width="22.42578125" bestFit="1" customWidth="1"/>
    <col min="5" max="5" width="15.28515625" bestFit="1" customWidth="1"/>
    <col min="6" max="6" width="11.5703125" bestFit="1" customWidth="1"/>
  </cols>
  <sheetData>
    <row r="1" spans="1:10" s="2" customFormat="1" x14ac:dyDescent="0.25">
      <c r="C1" s="2" t="s">
        <v>35</v>
      </c>
      <c r="D1" s="2" t="s">
        <v>36</v>
      </c>
      <c r="E1" s="2" t="s">
        <v>2</v>
      </c>
      <c r="F1" s="2" t="s">
        <v>1</v>
      </c>
    </row>
    <row r="2" spans="1:10" x14ac:dyDescent="0.25">
      <c r="B2" t="s">
        <v>31</v>
      </c>
      <c r="C2" s="6">
        <f>Input!$C$16</f>
        <v>0</v>
      </c>
      <c r="D2" s="6"/>
      <c r="E2" s="6">
        <f>C2</f>
        <v>0</v>
      </c>
      <c r="F2" s="6"/>
    </row>
    <row r="3" spans="1:10" x14ac:dyDescent="0.25">
      <c r="B3" t="s">
        <v>32</v>
      </c>
      <c r="C3" s="6">
        <f>Input!$C$16</f>
        <v>0</v>
      </c>
      <c r="D3" s="6">
        <f>IF(Input!$B$12=Input!$A$2,"",IF(C3&gt;0,"",$D$11))*IF(Input!$C$12=Input!$A$9,(1+Input!$D$12),1)</f>
        <v>3884375</v>
      </c>
      <c r="E3" s="6">
        <f>IF(Input!$C$12=Input!$A$9,IF(Beregninger!$C3=0,Beregninger!$D3,Beregninger!$C3),Beregninger!$D$11*(1-Input!$F$12))</f>
        <v>1903343.75</v>
      </c>
      <c r="F3" s="6">
        <f>IF(Input!C12=Input!A8,C14,0)</f>
        <v>572220</v>
      </c>
    </row>
    <row r="4" spans="1:10" x14ac:dyDescent="0.25">
      <c r="B4" t="s">
        <v>33</v>
      </c>
      <c r="C4" s="6">
        <f>Input!$C$16</f>
        <v>0</v>
      </c>
      <c r="D4" s="6">
        <f>IF(Input!$B$12=Input!$A$2,"",IF(C4&gt;0,"",$F$11))*IF(Input!$C$12=Input!$A$9,(1+Input!$D$12),1)</f>
        <v>4603958.333333333</v>
      </c>
      <c r="E4" s="6">
        <f>IF(Input!$C$12=Input!$A$9,IF(Beregninger!$C4=0,Beregninger!$D4,Beregninger!$C4),Beregninger!$F$11*(1-Input!$F$12))</f>
        <v>2255939.583333333</v>
      </c>
      <c r="F4" s="6">
        <f>IF(Input!C12=Input!A8,E14,0)</f>
        <v>700665.625</v>
      </c>
    </row>
    <row r="5" spans="1:10" x14ac:dyDescent="0.25">
      <c r="B5" t="s">
        <v>34</v>
      </c>
      <c r="C5" s="6">
        <f>Input!$C$16</f>
        <v>0</v>
      </c>
      <c r="D5" s="6">
        <f>IF(Input!$B$12=Input!$A$2,"",IF(C5&gt;0,"",$D$11))*IF(Input!$C$12=Input!$A$9,(1+Input!$D$12),1)</f>
        <v>3884375</v>
      </c>
      <c r="E5" s="6">
        <f>IF(C5=0,D5,C5)</f>
        <v>3884375</v>
      </c>
      <c r="F5" s="6"/>
    </row>
    <row r="10" spans="1:10" x14ac:dyDescent="0.25">
      <c r="B10" s="2" t="s">
        <v>10</v>
      </c>
      <c r="C10" s="2" t="s">
        <v>123</v>
      </c>
      <c r="D10" s="2" t="s">
        <v>36</v>
      </c>
      <c r="E10" s="2" t="s">
        <v>122</v>
      </c>
      <c r="F10" s="2" t="s">
        <v>38</v>
      </c>
      <c r="G10" s="2"/>
      <c r="J10" s="2" t="s">
        <v>127</v>
      </c>
    </row>
    <row r="11" spans="1:10" x14ac:dyDescent="0.25">
      <c r="A11" s="2" t="s">
        <v>15</v>
      </c>
      <c r="B11" s="3">
        <f>VLOOKUP(Input!$E$12,Def!$A$2:$C$7,2,FALSE)*((Input!G12/60)*Input!I12)</f>
        <v>2481875</v>
      </c>
      <c r="C11" s="3">
        <f>+VLOOKUP(Input!$E$12,Def!$A$2:$C$7,3,FALSE)*((Input!G12/60)*Input!I12)</f>
        <v>1402500</v>
      </c>
      <c r="D11" s="4">
        <f>SUM(B11:C11)</f>
        <v>3884375</v>
      </c>
      <c r="E11" s="6">
        <f>(VLOOKUP(Input!$E$12,Def!$A$2:$D$7,4,FALSE)*((Input!G12/J11)*Input!I12))</f>
        <v>719583.33333333326</v>
      </c>
      <c r="F11" s="7">
        <f>SUM(D11:E11)</f>
        <v>4603958.333333333</v>
      </c>
      <c r="G11" s="10"/>
      <c r="J11">
        <f>Input!H12</f>
        <v>90</v>
      </c>
    </row>
    <row r="12" spans="1:10" x14ac:dyDescent="0.25">
      <c r="H12" s="10"/>
    </row>
    <row r="13" spans="1:10" x14ac:dyDescent="0.25">
      <c r="A13" s="2"/>
      <c r="B13" s="2"/>
      <c r="C13" s="2" t="s">
        <v>41</v>
      </c>
      <c r="D13" s="2" t="s">
        <v>42</v>
      </c>
      <c r="E13" s="2" t="s">
        <v>40</v>
      </c>
    </row>
    <row r="14" spans="1:10" x14ac:dyDescent="0.25">
      <c r="A14" s="2" t="s">
        <v>49</v>
      </c>
      <c r="B14" s="3"/>
      <c r="C14" s="3">
        <f>+VLOOKUP(Input!$E$12,Def!$A$13:$C$18,2,FALSE)*Input!K12*Input!F12</f>
        <v>572220</v>
      </c>
      <c r="D14" s="6">
        <f>VLOOKUP(Input!$E$12,Def!$A$13:$C$18,3,FALSE)*Input!F12*((Input!G12/J11)*Input!I12)*Input!J12</f>
        <v>128445.62499999999</v>
      </c>
      <c r="E14" s="8">
        <f>SUM(C14:D14)</f>
        <v>700665.625</v>
      </c>
    </row>
    <row r="16" spans="1:10" x14ac:dyDescent="0.25">
      <c r="D16" s="7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workbookViewId="0">
      <selection activeCell="E22" sqref="E22"/>
    </sheetView>
  </sheetViews>
  <sheetFormatPr baseColWidth="10" defaultRowHeight="15" x14ac:dyDescent="0.25"/>
  <sheetData>
    <row r="1" spans="1:16" s="2" customFormat="1" x14ac:dyDescent="0.25">
      <c r="A1" s="2" t="s">
        <v>136</v>
      </c>
      <c r="B1" s="2" t="s">
        <v>46</v>
      </c>
      <c r="C1" s="2" t="s">
        <v>47</v>
      </c>
      <c r="D1" s="2" t="s">
        <v>48</v>
      </c>
      <c r="G1" s="2" t="s">
        <v>28</v>
      </c>
      <c r="I1" s="2" t="s">
        <v>31</v>
      </c>
      <c r="J1" s="2" t="s">
        <v>32</v>
      </c>
      <c r="K1" s="2" t="s">
        <v>33</v>
      </c>
      <c r="L1" s="2" t="s">
        <v>34</v>
      </c>
    </row>
    <row r="2" spans="1:16" x14ac:dyDescent="0.25">
      <c r="A2" t="s">
        <v>4</v>
      </c>
      <c r="B2" s="6">
        <v>250600</v>
      </c>
      <c r="C2" s="6">
        <v>137000</v>
      </c>
      <c r="D2" s="6">
        <v>104100</v>
      </c>
      <c r="G2" s="2" t="s">
        <v>31</v>
      </c>
      <c r="H2" t="s">
        <v>17</v>
      </c>
      <c r="I2" t="s">
        <v>29</v>
      </c>
      <c r="J2" t="s">
        <v>30</v>
      </c>
      <c r="K2" t="s">
        <v>30</v>
      </c>
      <c r="L2" t="s">
        <v>29</v>
      </c>
      <c r="P2" s="1">
        <v>1</v>
      </c>
    </row>
    <row r="3" spans="1:16" x14ac:dyDescent="0.25">
      <c r="A3" t="s">
        <v>5</v>
      </c>
      <c r="B3" s="6">
        <v>189000</v>
      </c>
      <c r="C3" s="6">
        <v>105100</v>
      </c>
      <c r="D3" s="6">
        <v>78600</v>
      </c>
      <c r="G3" s="2" t="s">
        <v>32</v>
      </c>
      <c r="H3" t="s">
        <v>18</v>
      </c>
      <c r="J3" t="s">
        <v>29</v>
      </c>
      <c r="K3" t="s">
        <v>29</v>
      </c>
      <c r="P3" s="1">
        <v>0.99</v>
      </c>
    </row>
    <row r="4" spans="1:16" x14ac:dyDescent="0.25">
      <c r="A4" t="s">
        <v>6</v>
      </c>
      <c r="B4" s="6">
        <v>128500</v>
      </c>
      <c r="C4" s="6">
        <v>70050</v>
      </c>
      <c r="D4" s="6">
        <v>52000</v>
      </c>
      <c r="G4" s="2" t="s">
        <v>33</v>
      </c>
      <c r="H4" t="s">
        <v>19</v>
      </c>
      <c r="P4" s="1">
        <v>0.98</v>
      </c>
    </row>
    <row r="5" spans="1:16" x14ac:dyDescent="0.25">
      <c r="A5" t="s">
        <v>7</v>
      </c>
      <c r="B5" s="6">
        <v>90250</v>
      </c>
      <c r="C5" s="6">
        <v>51000</v>
      </c>
      <c r="D5" s="6">
        <v>39250</v>
      </c>
      <c r="G5" s="2" t="s">
        <v>34</v>
      </c>
      <c r="H5" t="s">
        <v>20</v>
      </c>
      <c r="P5" s="1">
        <v>0.97</v>
      </c>
    </row>
    <row r="6" spans="1:16" x14ac:dyDescent="0.25">
      <c r="A6" t="s">
        <v>8</v>
      </c>
      <c r="B6" s="6">
        <v>77500</v>
      </c>
      <c r="C6" s="6">
        <v>41450</v>
      </c>
      <c r="D6" s="6">
        <v>31850</v>
      </c>
      <c r="P6" s="1">
        <v>0.96</v>
      </c>
    </row>
    <row r="7" spans="1:16" x14ac:dyDescent="0.25">
      <c r="A7" t="s">
        <v>9</v>
      </c>
      <c r="B7" s="6">
        <v>64750</v>
      </c>
      <c r="C7" s="6">
        <v>35050</v>
      </c>
      <c r="D7" s="6">
        <v>26500</v>
      </c>
      <c r="P7" s="1">
        <v>0.95</v>
      </c>
    </row>
    <row r="8" spans="1:16" x14ac:dyDescent="0.25">
      <c r="G8" t="s">
        <v>21</v>
      </c>
      <c r="H8" t="s">
        <v>30</v>
      </c>
      <c r="P8" s="1">
        <v>0.94</v>
      </c>
    </row>
    <row r="9" spans="1:16" x14ac:dyDescent="0.25">
      <c r="G9" t="s">
        <v>22</v>
      </c>
      <c r="H9" t="s">
        <v>29</v>
      </c>
      <c r="P9" s="1">
        <v>0.93</v>
      </c>
    </row>
    <row r="10" spans="1:16" x14ac:dyDescent="0.25">
      <c r="P10" s="1">
        <v>0.92</v>
      </c>
    </row>
    <row r="11" spans="1:16" x14ac:dyDescent="0.25">
      <c r="B11" s="80" t="s">
        <v>45</v>
      </c>
      <c r="C11" s="80"/>
      <c r="P11" s="1">
        <v>0.91</v>
      </c>
    </row>
    <row r="12" spans="1:16" x14ac:dyDescent="0.25">
      <c r="A12" s="2" t="str">
        <f>A1</f>
        <v>2020-kr</v>
      </c>
      <c r="B12" s="2" t="s">
        <v>37</v>
      </c>
      <c r="C12" s="2" t="s">
        <v>27</v>
      </c>
      <c r="G12" s="2"/>
      <c r="H12" s="2" t="s">
        <v>30</v>
      </c>
      <c r="I12" s="2" t="s">
        <v>29</v>
      </c>
      <c r="P12" s="1">
        <v>0.9</v>
      </c>
    </row>
    <row r="13" spans="1:16" x14ac:dyDescent="0.25">
      <c r="A13" t="s">
        <v>4</v>
      </c>
      <c r="B13" s="6">
        <f t="shared" ref="B13:C13" si="0">C2*B$20</f>
        <v>109600</v>
      </c>
      <c r="C13" s="6">
        <f t="shared" si="0"/>
        <v>36435</v>
      </c>
      <c r="G13" s="2"/>
      <c r="H13" t="s">
        <v>32</v>
      </c>
      <c r="I13" t="s">
        <v>31</v>
      </c>
      <c r="P13" s="1">
        <v>0.89</v>
      </c>
    </row>
    <row r="14" spans="1:16" x14ac:dyDescent="0.25">
      <c r="A14" t="s">
        <v>5</v>
      </c>
      <c r="B14" s="6">
        <f t="shared" ref="B14:C14" si="1">C3*B$20</f>
        <v>84080</v>
      </c>
      <c r="C14" s="6">
        <f t="shared" si="1"/>
        <v>27510</v>
      </c>
      <c r="G14" s="2"/>
      <c r="H14" t="s">
        <v>33</v>
      </c>
      <c r="I14" t="s">
        <v>32</v>
      </c>
      <c r="P14" s="1">
        <v>0.88</v>
      </c>
    </row>
    <row r="15" spans="1:16" x14ac:dyDescent="0.25">
      <c r="A15" t="s">
        <v>6</v>
      </c>
      <c r="B15" s="6">
        <f t="shared" ref="B15:C15" si="2">C4*B$20</f>
        <v>56040</v>
      </c>
      <c r="C15" s="6">
        <f t="shared" si="2"/>
        <v>18200</v>
      </c>
      <c r="G15" s="2"/>
      <c r="I15" t="s">
        <v>33</v>
      </c>
      <c r="P15" s="1">
        <v>0.87</v>
      </c>
    </row>
    <row r="16" spans="1:16" x14ac:dyDescent="0.25">
      <c r="A16" t="s">
        <v>7</v>
      </c>
      <c r="B16" s="6">
        <f t="shared" ref="B16:C16" si="3">C5*B$20</f>
        <v>40800</v>
      </c>
      <c r="C16" s="6">
        <f t="shared" si="3"/>
        <v>13737.5</v>
      </c>
      <c r="I16" t="s">
        <v>34</v>
      </c>
      <c r="P16" s="1">
        <v>0.86</v>
      </c>
    </row>
    <row r="17" spans="1:16" x14ac:dyDescent="0.25">
      <c r="A17" t="s">
        <v>8</v>
      </c>
      <c r="B17" s="6">
        <f t="shared" ref="B17:C17" si="4">C6*B$20</f>
        <v>33160</v>
      </c>
      <c r="C17" s="6">
        <f t="shared" si="4"/>
        <v>11147.5</v>
      </c>
      <c r="P17" s="1">
        <v>0.85</v>
      </c>
    </row>
    <row r="18" spans="1:16" x14ac:dyDescent="0.25">
      <c r="A18" t="s">
        <v>9</v>
      </c>
      <c r="B18" s="6">
        <f t="shared" ref="B18:C18" si="5">C7*B$20</f>
        <v>28040</v>
      </c>
      <c r="C18" s="6">
        <f t="shared" si="5"/>
        <v>9275</v>
      </c>
      <c r="P18" s="1">
        <v>0.84</v>
      </c>
    </row>
    <row r="19" spans="1:16" x14ac:dyDescent="0.25">
      <c r="P19" s="1">
        <v>0.83</v>
      </c>
    </row>
    <row r="20" spans="1:16" x14ac:dyDescent="0.25">
      <c r="A20" t="s">
        <v>53</v>
      </c>
      <c r="B20" s="1">
        <v>0.8</v>
      </c>
      <c r="C20" s="1">
        <v>0.35</v>
      </c>
      <c r="P20" s="1">
        <v>0.82</v>
      </c>
    </row>
    <row r="21" spans="1:16" x14ac:dyDescent="0.25">
      <c r="P21" s="1">
        <v>0.81</v>
      </c>
    </row>
    <row r="22" spans="1:16" x14ac:dyDescent="0.25">
      <c r="P22" s="1">
        <v>0.8</v>
      </c>
    </row>
    <row r="23" spans="1:16" x14ac:dyDescent="0.25">
      <c r="G23" s="6"/>
      <c r="P23" s="1">
        <v>0.79</v>
      </c>
    </row>
    <row r="24" spans="1:16" x14ac:dyDescent="0.25">
      <c r="G24" s="6"/>
      <c r="P24" s="1">
        <v>0.78</v>
      </c>
    </row>
    <row r="25" spans="1:16" x14ac:dyDescent="0.25">
      <c r="G25" s="6"/>
      <c r="P25" s="1">
        <v>0.77</v>
      </c>
    </row>
    <row r="26" spans="1:16" x14ac:dyDescent="0.25">
      <c r="G26" s="6"/>
      <c r="P26" s="1">
        <v>0.76</v>
      </c>
    </row>
    <row r="27" spans="1:16" x14ac:dyDescent="0.25">
      <c r="G27" s="6"/>
      <c r="P27" s="1">
        <v>0.75</v>
      </c>
    </row>
    <row r="28" spans="1:16" x14ac:dyDescent="0.25">
      <c r="G28" s="6"/>
      <c r="P28" s="1">
        <v>0.74</v>
      </c>
    </row>
    <row r="29" spans="1:16" x14ac:dyDescent="0.25">
      <c r="F29" s="6"/>
      <c r="G29" s="6"/>
      <c r="P29" s="1">
        <v>0.73</v>
      </c>
    </row>
    <row r="30" spans="1:16" x14ac:dyDescent="0.25">
      <c r="F30" s="6"/>
      <c r="G30" s="6"/>
      <c r="P30" s="1">
        <v>0.72</v>
      </c>
    </row>
    <row r="31" spans="1:16" x14ac:dyDescent="0.25">
      <c r="F31" s="6"/>
      <c r="G31" s="6"/>
      <c r="P31" s="1">
        <v>0.71</v>
      </c>
    </row>
    <row r="32" spans="1:16" x14ac:dyDescent="0.25">
      <c r="F32" s="6"/>
      <c r="G32" s="6"/>
      <c r="P32" s="1">
        <v>0.7</v>
      </c>
    </row>
    <row r="33" spans="6:16" x14ac:dyDescent="0.25">
      <c r="F33" s="6"/>
      <c r="G33" s="6"/>
      <c r="P33" s="1">
        <v>0.69</v>
      </c>
    </row>
    <row r="34" spans="6:16" x14ac:dyDescent="0.25">
      <c r="F34" s="6"/>
      <c r="G34" s="6"/>
      <c r="P34" s="1">
        <v>0.68</v>
      </c>
    </row>
    <row r="35" spans="6:16" x14ac:dyDescent="0.25">
      <c r="P35" s="1">
        <v>0.67</v>
      </c>
    </row>
    <row r="36" spans="6:16" x14ac:dyDescent="0.25">
      <c r="P36" s="1">
        <v>0.66</v>
      </c>
    </row>
    <row r="37" spans="6:16" x14ac:dyDescent="0.25">
      <c r="P37" s="1">
        <v>0.65</v>
      </c>
    </row>
    <row r="38" spans="6:16" x14ac:dyDescent="0.25">
      <c r="P38" s="1">
        <v>0.64</v>
      </c>
    </row>
    <row r="39" spans="6:16" x14ac:dyDescent="0.25">
      <c r="P39" s="1">
        <v>0.63</v>
      </c>
    </row>
    <row r="40" spans="6:16" x14ac:dyDescent="0.25">
      <c r="P40" s="1">
        <v>0.62</v>
      </c>
    </row>
    <row r="41" spans="6:16" x14ac:dyDescent="0.25">
      <c r="P41" s="1">
        <v>0.61</v>
      </c>
    </row>
    <row r="42" spans="6:16" x14ac:dyDescent="0.25">
      <c r="P42" s="1">
        <v>0.6</v>
      </c>
    </row>
    <row r="43" spans="6:16" x14ac:dyDescent="0.25">
      <c r="P43" s="1">
        <v>0.59</v>
      </c>
    </row>
    <row r="44" spans="6:16" x14ac:dyDescent="0.25">
      <c r="P44" s="1">
        <v>0.57999999999999996</v>
      </c>
    </row>
    <row r="45" spans="6:16" x14ac:dyDescent="0.25">
      <c r="P45" s="1">
        <v>0.56999999999999995</v>
      </c>
    </row>
    <row r="46" spans="6:16" x14ac:dyDescent="0.25">
      <c r="P46" s="1">
        <v>0.56000000000000005</v>
      </c>
    </row>
    <row r="47" spans="6:16" x14ac:dyDescent="0.25">
      <c r="P47" s="1">
        <v>0.55000000000000004</v>
      </c>
    </row>
    <row r="48" spans="6:16" x14ac:dyDescent="0.25">
      <c r="P48" s="1">
        <v>0.54</v>
      </c>
    </row>
    <row r="49" spans="16:16" x14ac:dyDescent="0.25">
      <c r="P49" s="1">
        <v>0.53</v>
      </c>
    </row>
    <row r="50" spans="16:16" x14ac:dyDescent="0.25">
      <c r="P50" s="1">
        <v>0.52</v>
      </c>
    </row>
    <row r="51" spans="16:16" x14ac:dyDescent="0.25">
      <c r="P51" s="1">
        <v>0.51</v>
      </c>
    </row>
  </sheetData>
  <mergeCells count="1">
    <mergeCell ref="B11:C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15"/>
  <sheetViews>
    <sheetView workbookViewId="0">
      <selection activeCell="N38" sqref="N38"/>
    </sheetView>
  </sheetViews>
  <sheetFormatPr baseColWidth="10" defaultRowHeight="15" x14ac:dyDescent="0.25"/>
  <cols>
    <col min="2" max="2" width="23.85546875" bestFit="1" customWidth="1"/>
    <col min="3" max="3" width="41.5703125" customWidth="1"/>
  </cols>
  <sheetData>
    <row r="1" spans="2:3" ht="15.75" thickBot="1" x14ac:dyDescent="0.3"/>
    <row r="2" spans="2:3" ht="18.75" x14ac:dyDescent="0.3">
      <c r="B2" s="81" t="s">
        <v>57</v>
      </c>
      <c r="C2" s="82"/>
    </row>
    <row r="3" spans="2:3" ht="45" customHeight="1" x14ac:dyDescent="0.25">
      <c r="B3" s="38" t="s">
        <v>58</v>
      </c>
      <c r="C3" s="46" t="str">
        <f>VLOOKUP(Input!B12,Input!$A$2:$B$5,2,FALSE)</f>
        <v>Erfaringsbaserte mastergradsstudier</v>
      </c>
    </row>
    <row r="4" spans="2:3" x14ac:dyDescent="0.25">
      <c r="B4" s="38" t="s">
        <v>59</v>
      </c>
      <c r="C4" s="46" t="str">
        <f>IFERROR(VLOOKUP(Input!C12,Input!A8:B9,2,FALSE),"")</f>
        <v>Ikke-økonomisk aktivitet</v>
      </c>
    </row>
    <row r="5" spans="2:3" x14ac:dyDescent="0.25">
      <c r="B5" s="38" t="s">
        <v>0</v>
      </c>
      <c r="C5" s="39">
        <f>IF(Input!C12=Input!A9,"",Input!F12)</f>
        <v>0.51</v>
      </c>
    </row>
    <row r="6" spans="2:3" x14ac:dyDescent="0.25">
      <c r="B6" s="38" t="s">
        <v>51</v>
      </c>
      <c r="C6" s="71">
        <f>IF(Input!C12=Input!A9,"",Input!G12)</f>
        <v>7.5</v>
      </c>
    </row>
    <row r="7" spans="2:3" x14ac:dyDescent="0.25">
      <c r="B7" s="38" t="s">
        <v>39</v>
      </c>
      <c r="C7" s="40">
        <f>Input!I12</f>
        <v>220</v>
      </c>
    </row>
    <row r="8" spans="2:3" x14ac:dyDescent="0.25">
      <c r="B8" s="38" t="s">
        <v>60</v>
      </c>
      <c r="C8" s="40">
        <f>IF(Input!C12=Input!A9,"",Input!K12)</f>
        <v>27.5</v>
      </c>
    </row>
    <row r="9" spans="2:3" x14ac:dyDescent="0.25">
      <c r="B9" s="38" t="s">
        <v>12</v>
      </c>
      <c r="C9" s="40">
        <f>Figurberegning!C2</f>
        <v>4603958.333333333</v>
      </c>
    </row>
    <row r="10" spans="2:3" x14ac:dyDescent="0.25">
      <c r="B10" s="38" t="s">
        <v>2</v>
      </c>
      <c r="C10" s="40">
        <f>Input!C20</f>
        <v>2255939.583333333</v>
      </c>
    </row>
    <row r="11" spans="2:3" x14ac:dyDescent="0.25">
      <c r="B11" s="43" t="s">
        <v>55</v>
      </c>
      <c r="C11" s="44">
        <f>IFERROR(Input!C20/Input!I12,"")</f>
        <v>10254.270833333332</v>
      </c>
    </row>
    <row r="12" spans="2:3" x14ac:dyDescent="0.25">
      <c r="B12" s="38" t="s">
        <v>56</v>
      </c>
      <c r="C12" s="40">
        <f>IF(Input!C21=0,"",Input!C21)</f>
        <v>700665.625</v>
      </c>
    </row>
    <row r="13" spans="2:3" x14ac:dyDescent="0.25">
      <c r="B13" s="43" t="s">
        <v>103</v>
      </c>
      <c r="C13" s="44">
        <f>IF(Input!C21=0,"",Beregninger!C14)</f>
        <v>572220</v>
      </c>
    </row>
    <row r="14" spans="2:3" x14ac:dyDescent="0.25">
      <c r="B14" s="43" t="s">
        <v>104</v>
      </c>
      <c r="C14" s="44">
        <f>IFERROR(IF(C12-C13=0,"",C12-C13),"")</f>
        <v>128445.625</v>
      </c>
    </row>
    <row r="15" spans="2:3" ht="15.75" thickBot="1" x14ac:dyDescent="0.3">
      <c r="B15" s="41" t="s">
        <v>54</v>
      </c>
      <c r="C15" s="42">
        <f>IF(Input!C23=0,"",Input!C23)</f>
        <v>1647353.125</v>
      </c>
    </row>
  </sheetData>
  <mergeCells count="1">
    <mergeCell ref="B2:C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workbookViewId="0">
      <selection activeCell="F8" sqref="F8"/>
    </sheetView>
  </sheetViews>
  <sheetFormatPr baseColWidth="10" defaultRowHeight="15" x14ac:dyDescent="0.25"/>
  <cols>
    <col min="1" max="1" width="27.7109375" customWidth="1"/>
    <col min="2" max="2" width="23.28515625" bestFit="1" customWidth="1"/>
    <col min="3" max="3" width="19" bestFit="1" customWidth="1"/>
    <col min="4" max="4" width="38.5703125" customWidth="1"/>
  </cols>
  <sheetData>
    <row r="1" spans="1:4" ht="15.75" thickBot="1" x14ac:dyDescent="0.3"/>
    <row r="2" spans="1:4" x14ac:dyDescent="0.25">
      <c r="A2" s="49" t="s">
        <v>65</v>
      </c>
      <c r="B2" s="54" t="s">
        <v>21</v>
      </c>
      <c r="C2" s="54" t="s">
        <v>22</v>
      </c>
      <c r="D2" s="50" t="s">
        <v>66</v>
      </c>
    </row>
    <row r="3" spans="1:4" ht="30" x14ac:dyDescent="0.25">
      <c r="A3" s="56" t="s">
        <v>67</v>
      </c>
      <c r="B3" s="35"/>
      <c r="C3" s="35" t="s">
        <v>68</v>
      </c>
      <c r="D3" s="45" t="s">
        <v>69</v>
      </c>
    </row>
    <row r="4" spans="1:4" ht="75" x14ac:dyDescent="0.25">
      <c r="A4" s="56" t="s">
        <v>70</v>
      </c>
      <c r="B4" s="35" t="s">
        <v>68</v>
      </c>
      <c r="C4" s="35" t="s">
        <v>68</v>
      </c>
      <c r="D4" s="45" t="s">
        <v>71</v>
      </c>
    </row>
    <row r="5" spans="1:4" ht="75" x14ac:dyDescent="0.25">
      <c r="A5" s="56" t="s">
        <v>72</v>
      </c>
      <c r="B5" s="35" t="s">
        <v>68</v>
      </c>
      <c r="C5" s="35" t="s">
        <v>68</v>
      </c>
      <c r="D5" s="45" t="s">
        <v>71</v>
      </c>
    </row>
    <row r="6" spans="1:4" ht="75.75" thickBot="1" x14ac:dyDescent="0.3">
      <c r="A6" s="57" t="s">
        <v>73</v>
      </c>
      <c r="B6" s="55"/>
      <c r="C6" s="55" t="s">
        <v>68</v>
      </c>
      <c r="D6" s="53" t="s">
        <v>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workbookViewId="0">
      <selection activeCell="D10" sqref="D10"/>
    </sheetView>
  </sheetViews>
  <sheetFormatPr baseColWidth="10" defaultRowHeight="15" x14ac:dyDescent="0.25"/>
  <cols>
    <col min="2" max="2" width="81.140625" customWidth="1"/>
  </cols>
  <sheetData>
    <row r="1" spans="1:2" ht="15.75" thickBot="1" x14ac:dyDescent="0.3"/>
    <row r="2" spans="1:2" x14ac:dyDescent="0.25">
      <c r="A2" s="49" t="s">
        <v>75</v>
      </c>
      <c r="B2" s="50" t="s">
        <v>76</v>
      </c>
    </row>
    <row r="3" spans="1:2" ht="30" x14ac:dyDescent="0.25">
      <c r="A3" s="51" t="s">
        <v>4</v>
      </c>
      <c r="B3" s="45" t="s">
        <v>77</v>
      </c>
    </row>
    <row r="4" spans="1:2" ht="60" x14ac:dyDescent="0.25">
      <c r="A4" s="51" t="s">
        <v>5</v>
      </c>
      <c r="B4" s="45" t="s">
        <v>78</v>
      </c>
    </row>
    <row r="5" spans="1:2" ht="30" x14ac:dyDescent="0.25">
      <c r="A5" s="51" t="s">
        <v>6</v>
      </c>
      <c r="B5" s="45" t="s">
        <v>79</v>
      </c>
    </row>
    <row r="6" spans="1:2" ht="135" x14ac:dyDescent="0.25">
      <c r="A6" s="51" t="s">
        <v>7</v>
      </c>
      <c r="B6" s="45" t="s">
        <v>80</v>
      </c>
    </row>
    <row r="7" spans="1:2" ht="90" x14ac:dyDescent="0.25">
      <c r="A7" s="51" t="s">
        <v>8</v>
      </c>
      <c r="B7" s="45" t="s">
        <v>81</v>
      </c>
    </row>
    <row r="8" spans="1:2" ht="45.75" thickBot="1" x14ac:dyDescent="0.3">
      <c r="A8" s="52" t="s">
        <v>9</v>
      </c>
      <c r="B8" s="53" t="s">
        <v>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4"/>
  <sheetViews>
    <sheetView workbookViewId="0">
      <selection activeCell="E11" sqref="E11"/>
    </sheetView>
  </sheetViews>
  <sheetFormatPr baseColWidth="10" defaultRowHeight="15" x14ac:dyDescent="0.25"/>
  <cols>
    <col min="2" max="2" width="16.28515625" bestFit="1" customWidth="1"/>
  </cols>
  <sheetData>
    <row r="1" spans="2:7" s="2" customFormat="1" x14ac:dyDescent="0.25">
      <c r="C1" s="2" t="s">
        <v>15</v>
      </c>
      <c r="D1" s="2" t="s">
        <v>14</v>
      </c>
      <c r="E1" s="2" t="s">
        <v>2</v>
      </c>
      <c r="F1" s="2" t="s">
        <v>44</v>
      </c>
      <c r="G1" s="2" t="str">
        <f>B4</f>
        <v>Udekte kostnader</v>
      </c>
    </row>
    <row r="2" spans="2:7" x14ac:dyDescent="0.25">
      <c r="B2" t="s">
        <v>15</v>
      </c>
      <c r="C2" s="6">
        <f>IF(Input!C16=0,Input!C17,Input!C16)</f>
        <v>4603958.333333333</v>
      </c>
      <c r="D2" s="9">
        <f>Input!D22</f>
        <v>0.64218765555002488</v>
      </c>
      <c r="E2" s="6"/>
      <c r="F2" s="6"/>
    </row>
    <row r="3" spans="2:7" x14ac:dyDescent="0.25">
      <c r="B3" t="s">
        <v>16</v>
      </c>
      <c r="C3" s="6"/>
      <c r="D3" s="1"/>
      <c r="E3" s="6">
        <f>Input!C20</f>
        <v>2255939.583333333</v>
      </c>
      <c r="F3" s="6">
        <f>Input!C21</f>
        <v>700665.625</v>
      </c>
    </row>
    <row r="4" spans="2:7" x14ac:dyDescent="0.25">
      <c r="B4" s="5" t="str">
        <f>Input!B23</f>
        <v>Udekte kostnader</v>
      </c>
      <c r="G4" s="10">
        <f>C2-SUM(E3:F3)</f>
        <v>1647353.125</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8</vt:i4>
      </vt:variant>
      <vt:variant>
        <vt:lpstr>Navngitte områder</vt:lpstr>
      </vt:variant>
      <vt:variant>
        <vt:i4>8</vt:i4>
      </vt:variant>
    </vt:vector>
  </HeadingPairs>
  <TitlesOfParts>
    <vt:vector size="16" baseType="lpstr">
      <vt:lpstr>Brukerveiledning</vt:lpstr>
      <vt:lpstr>Input</vt:lpstr>
      <vt:lpstr>Beregninger</vt:lpstr>
      <vt:lpstr>Def</vt:lpstr>
      <vt:lpstr>Oppsummert</vt:lpstr>
      <vt:lpstr>Unntak i egenbetalingsforsk</vt:lpstr>
      <vt:lpstr>Finansieringskategorier</vt:lpstr>
      <vt:lpstr>Figurberegning</vt:lpstr>
      <vt:lpstr>a.</vt:lpstr>
      <vt:lpstr>Aktivitetstype</vt:lpstr>
      <vt:lpstr>b.</vt:lpstr>
      <vt:lpstr>c.</vt:lpstr>
      <vt:lpstr>d.</vt:lpstr>
      <vt:lpstr>Finanskat</vt:lpstr>
      <vt:lpstr>IØA</vt:lpstr>
      <vt:lpstr>ØA</vt:lpstr>
    </vt:vector>
  </TitlesOfParts>
  <Company>NTNU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Slettebak Wangen</dc:creator>
  <cp:lastModifiedBy>Andreas Slettebak Wangen</cp:lastModifiedBy>
  <dcterms:created xsi:type="dcterms:W3CDTF">2018-07-03T06:55:17Z</dcterms:created>
  <dcterms:modified xsi:type="dcterms:W3CDTF">2020-01-24T11:56:30Z</dcterms:modified>
</cp:coreProperties>
</file>