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filterPrivacy="1" codeName="ThisWorkbook" defaultThemeVersion="124226"/>
  <xr:revisionPtr revIDLastSave="0" documentId="13_ncr:1_{0450FF7F-022C-4868-969A-3C08E7A0B4B4}" xr6:coauthVersionLast="45" xr6:coauthVersionMax="45" xr10:uidLastSave="{00000000-0000-0000-0000-000000000000}"/>
  <bookViews>
    <workbookView xWindow="-120" yWindow="-120" windowWidth="51840" windowHeight="21240" activeTab="4" xr2:uid="{00000000-000D-0000-FFFF-FFFF00000000}"/>
  </bookViews>
  <sheets>
    <sheet name="Veiledning" sheetId="15" r:id="rId1"/>
    <sheet name="1.Budsjettinput" sheetId="7" r:id="rId2"/>
    <sheet name="2. Oppsummering Budsjett" sheetId="11" r:id="rId3"/>
    <sheet name="3. Samspill EVU - RD" sheetId="12" r:id="rId4"/>
    <sheet name="Oppslag" sheetId="3" r:id="rId5"/>
  </sheets>
  <externalReferences>
    <externalReference r:id="rId6"/>
    <externalReference r:id="rId7"/>
  </externalReferences>
  <definedNames>
    <definedName name="Aktivitet">Oppslag!$AX$13:$AX$14</definedName>
    <definedName name="Aktivitetstype">[1]Def!$G$2:$G$5</definedName>
    <definedName name="Budsjettenhet" localSheetId="0">[2]Oppslag!$AX$3:$AX$4</definedName>
    <definedName name="Budsjettenhet">Oppslag!$AX$3:$AX$4</definedName>
    <definedName name="Drift" localSheetId="0">[2]Oppslag!$AY$3:$AY$8</definedName>
    <definedName name="Drift">Oppslag!$AY$3:$AY$10</definedName>
    <definedName name="Driftskategori">Oppslag!$AY$2:$AY$12</definedName>
    <definedName name="Fast_ansatt?" localSheetId="0">[2]Oppslag!$BA$3:$BA$4</definedName>
    <definedName name="Fast_ansatt?">Oppslag!$BA$2:$BA$4</definedName>
    <definedName name="Fin.kat">Oppslag!$AX$19:$AX$24</definedName>
    <definedName name="Finanskat">[1]Def!$A$2:$A$7</definedName>
    <definedName name="IK_SP">Oppslag!$W$31</definedName>
    <definedName name="IK_UT">Oppslag!$W$33</definedName>
    <definedName name="_xlnm.Print_Area" localSheetId="3">'3. Samspill EVU - RD'!$A$2:$E$45</definedName>
    <definedName name="Priskategori" localSheetId="0">[2]Oppslag!$S$14:$S$27</definedName>
    <definedName name="Priskategori">Oppslag!$S$14:$S$27</definedName>
    <definedName name="Still">Oppslag!$B$1:$B$81</definedName>
    <definedName name="Stilling" localSheetId="0">[2]Oppslag!$B$2:$B$82</definedName>
    <definedName name="Stilling">Oppslag!$B$2:$B$81</definedName>
    <definedName name="Stillingstittel">Oppslag!$B$1:$B$81</definedName>
    <definedName name="Type">Oppslag!$AY$15:$AY$16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D12" i="3" l="1"/>
  <c r="BD13" i="3" s="1"/>
  <c r="BD14" i="3" s="1"/>
  <c r="BD15" i="3" s="1"/>
  <c r="BD16" i="3" s="1"/>
  <c r="BD17" i="3" s="1"/>
  <c r="BD18" i="3" s="1"/>
  <c r="BD19" i="3" s="1"/>
  <c r="BD20" i="3" s="1"/>
  <c r="BD21" i="3" s="1"/>
  <c r="BD22" i="3" s="1"/>
  <c r="BD23" i="3" s="1"/>
  <c r="BD24" i="3" s="1"/>
  <c r="BD25" i="3" s="1"/>
  <c r="BD26" i="3" s="1"/>
  <c r="BD27" i="3" s="1"/>
  <c r="BD28" i="3" s="1"/>
  <c r="BD29" i="3" s="1"/>
  <c r="BD30" i="3" s="1"/>
  <c r="BD31" i="3" s="1"/>
  <c r="BD32" i="3" s="1"/>
  <c r="AT4" i="3"/>
  <c r="AE172" i="3"/>
  <c r="AF172" i="3" s="1"/>
  <c r="AE171" i="3"/>
  <c r="AF171" i="3" s="1"/>
  <c r="AE170" i="3"/>
  <c r="AF170" i="3" s="1"/>
  <c r="AE169" i="3"/>
  <c r="AF169" i="3" s="1"/>
  <c r="AE168" i="3"/>
  <c r="AF168" i="3" s="1"/>
  <c r="AE167" i="3"/>
  <c r="AF167" i="3" s="1"/>
  <c r="AE166" i="3"/>
  <c r="AF166" i="3" s="1"/>
  <c r="AE165" i="3"/>
  <c r="AF165" i="3" s="1"/>
  <c r="AE164" i="3"/>
  <c r="AF164" i="3" s="1"/>
  <c r="AE163" i="3"/>
  <c r="AF163" i="3" s="1"/>
  <c r="AE162" i="3"/>
  <c r="AF162" i="3" s="1"/>
  <c r="AE161" i="3"/>
  <c r="AF161" i="3" s="1"/>
  <c r="AE160" i="3"/>
  <c r="AF160" i="3" s="1"/>
  <c r="AE159" i="3"/>
  <c r="AF159" i="3" s="1"/>
  <c r="AE158" i="3"/>
  <c r="AF158" i="3" s="1"/>
  <c r="AE157" i="3"/>
  <c r="AF157" i="3" s="1"/>
  <c r="AE156" i="3"/>
  <c r="AF156" i="3" s="1"/>
  <c r="AE155" i="3"/>
  <c r="AF155" i="3" s="1"/>
  <c r="AE154" i="3"/>
  <c r="AF154" i="3" s="1"/>
  <c r="AE153" i="3"/>
  <c r="AF153" i="3" s="1"/>
  <c r="AE152" i="3"/>
  <c r="AF152" i="3" s="1"/>
  <c r="AE151" i="3"/>
  <c r="AF151" i="3" s="1"/>
  <c r="AE150" i="3"/>
  <c r="AF150" i="3" s="1"/>
  <c r="AE149" i="3"/>
  <c r="AF149" i="3" s="1"/>
  <c r="AE148" i="3"/>
  <c r="AF148" i="3" s="1"/>
  <c r="AE147" i="3"/>
  <c r="AF147" i="3" s="1"/>
  <c r="AE146" i="3"/>
  <c r="AF146" i="3" s="1"/>
  <c r="AE145" i="3"/>
  <c r="AF145" i="3" s="1"/>
  <c r="AE144" i="3"/>
  <c r="AF144" i="3" s="1"/>
  <c r="AE143" i="3"/>
  <c r="AF143" i="3" s="1"/>
  <c r="AE142" i="3"/>
  <c r="AF142" i="3" s="1"/>
  <c r="AE141" i="3"/>
  <c r="AF141" i="3" s="1"/>
  <c r="AE140" i="3"/>
  <c r="AF140" i="3" s="1"/>
  <c r="AE139" i="3"/>
  <c r="AF139" i="3" s="1"/>
  <c r="AE138" i="3"/>
  <c r="AF138" i="3" s="1"/>
  <c r="AE137" i="3"/>
  <c r="AF137" i="3" s="1"/>
  <c r="AE136" i="3"/>
  <c r="AF136" i="3" s="1"/>
  <c r="AE135" i="3"/>
  <c r="AF135" i="3" s="1"/>
  <c r="AE134" i="3"/>
  <c r="AF134" i="3" s="1"/>
  <c r="AE133" i="3"/>
  <c r="AF133" i="3" s="1"/>
  <c r="AE132" i="3"/>
  <c r="AF132" i="3" s="1"/>
  <c r="AE131" i="3"/>
  <c r="AF131" i="3" s="1"/>
  <c r="AE130" i="3"/>
  <c r="AF130" i="3" s="1"/>
  <c r="AE129" i="3"/>
  <c r="AF129" i="3" s="1"/>
  <c r="AE128" i="3"/>
  <c r="AF128" i="3" s="1"/>
  <c r="AE127" i="3"/>
  <c r="AF127" i="3" s="1"/>
  <c r="AE126" i="3"/>
  <c r="AF126" i="3" s="1"/>
  <c r="AE125" i="3"/>
  <c r="AF125" i="3" s="1"/>
  <c r="AE124" i="3"/>
  <c r="AF124" i="3" s="1"/>
  <c r="AE123" i="3"/>
  <c r="AF123" i="3" s="1"/>
  <c r="AE122" i="3"/>
  <c r="AF122" i="3" s="1"/>
  <c r="AE121" i="3"/>
  <c r="AF121" i="3" s="1"/>
  <c r="AE120" i="3"/>
  <c r="AF120" i="3" s="1"/>
  <c r="AE119" i="3"/>
  <c r="AF119" i="3" s="1"/>
  <c r="AE118" i="3"/>
  <c r="AF118" i="3" s="1"/>
  <c r="AE117" i="3"/>
  <c r="AF117" i="3" s="1"/>
  <c r="AE116" i="3"/>
  <c r="AF116" i="3" s="1"/>
  <c r="AE115" i="3"/>
  <c r="AF115" i="3" s="1"/>
  <c r="AE114" i="3"/>
  <c r="AF114" i="3" s="1"/>
  <c r="AE113" i="3"/>
  <c r="AF113" i="3" s="1"/>
  <c r="AE112" i="3"/>
  <c r="AF112" i="3" s="1"/>
  <c r="AE111" i="3"/>
  <c r="AF111" i="3" s="1"/>
  <c r="AE110" i="3"/>
  <c r="AF110" i="3" s="1"/>
  <c r="AE109" i="3"/>
  <c r="AF109" i="3" s="1"/>
  <c r="AE108" i="3"/>
  <c r="AF108" i="3" s="1"/>
  <c r="AE107" i="3"/>
  <c r="AF107" i="3" s="1"/>
  <c r="AE106" i="3"/>
  <c r="AF106" i="3" s="1"/>
  <c r="AE105" i="3"/>
  <c r="AF105" i="3" s="1"/>
  <c r="AE104" i="3"/>
  <c r="AF104" i="3" s="1"/>
  <c r="AE103" i="3"/>
  <c r="AF103" i="3" s="1"/>
  <c r="AE102" i="3"/>
  <c r="AF102" i="3" s="1"/>
  <c r="AE101" i="3"/>
  <c r="AF101" i="3" s="1"/>
  <c r="AE100" i="3"/>
  <c r="AF100" i="3" s="1"/>
  <c r="AE99" i="3"/>
  <c r="AF99" i="3" s="1"/>
  <c r="AE98" i="3"/>
  <c r="AF98" i="3" s="1"/>
  <c r="AE97" i="3"/>
  <c r="AF97" i="3" s="1"/>
  <c r="AE96" i="3"/>
  <c r="AF96" i="3" s="1"/>
  <c r="AE95" i="3"/>
  <c r="AF95" i="3" s="1"/>
  <c r="AE94" i="3"/>
  <c r="AF94" i="3" s="1"/>
  <c r="AE93" i="3"/>
  <c r="AF93" i="3" s="1"/>
  <c r="AE92" i="3"/>
  <c r="AF92" i="3" s="1"/>
  <c r="AE91" i="3"/>
  <c r="AF91" i="3" s="1"/>
  <c r="AE90" i="3"/>
  <c r="AF90" i="3" s="1"/>
  <c r="AE89" i="3"/>
  <c r="AF89" i="3" s="1"/>
  <c r="AF88" i="3"/>
  <c r="AF87" i="3"/>
  <c r="AF86" i="3"/>
  <c r="AF85" i="3"/>
  <c r="AF84" i="3"/>
  <c r="AF83" i="3"/>
  <c r="AF82" i="3"/>
  <c r="AF81" i="3"/>
  <c r="AF80" i="3"/>
  <c r="AF79" i="3"/>
  <c r="AF78" i="3"/>
  <c r="AF77" i="3"/>
  <c r="AF76" i="3"/>
  <c r="AF75" i="3"/>
  <c r="AF74" i="3"/>
  <c r="AF73" i="3"/>
  <c r="AF72" i="3"/>
  <c r="AF71" i="3"/>
  <c r="AF70" i="3"/>
  <c r="AF69" i="3"/>
  <c r="AF68" i="3"/>
  <c r="AF67" i="3"/>
  <c r="AF66" i="3"/>
  <c r="AF65" i="3"/>
  <c r="AF64" i="3"/>
  <c r="AF63" i="3"/>
  <c r="AF62" i="3"/>
  <c r="AF61" i="3"/>
  <c r="AF60" i="3"/>
  <c r="AF59" i="3"/>
  <c r="AF58" i="3"/>
  <c r="AF57" i="3"/>
  <c r="AF56" i="3"/>
  <c r="AF55" i="3"/>
  <c r="AF54" i="3"/>
  <c r="AF53" i="3"/>
  <c r="AF52" i="3"/>
  <c r="AF51" i="3"/>
  <c r="AF50" i="3"/>
  <c r="AF49" i="3"/>
  <c r="AF48" i="3"/>
  <c r="AF47" i="3"/>
  <c r="AF46" i="3"/>
  <c r="AF45" i="3"/>
  <c r="AF44" i="3"/>
  <c r="AF43" i="3"/>
  <c r="AF42" i="3"/>
  <c r="AF41" i="3"/>
  <c r="AF40" i="3"/>
  <c r="AF39" i="3"/>
  <c r="AF38" i="3"/>
  <c r="AF37" i="3"/>
  <c r="AF36" i="3"/>
  <c r="AF35" i="3"/>
  <c r="AF34" i="3"/>
  <c r="AF33" i="3"/>
  <c r="AF32" i="3"/>
  <c r="AF31" i="3"/>
  <c r="AF30" i="3"/>
  <c r="AF29" i="3"/>
  <c r="AF28" i="3"/>
  <c r="AF27" i="3"/>
  <c r="AF26" i="3"/>
  <c r="AF25" i="3"/>
  <c r="AF24" i="3"/>
  <c r="AF23" i="3"/>
  <c r="AF22" i="3"/>
  <c r="AF21" i="3"/>
  <c r="AF20" i="3"/>
  <c r="AF19" i="3"/>
  <c r="AF18" i="3"/>
  <c r="AF17" i="3"/>
  <c r="AF16" i="3"/>
  <c r="AF15" i="3"/>
  <c r="AF14" i="3"/>
  <c r="AF13" i="3"/>
  <c r="AF12" i="3"/>
  <c r="AF11" i="3"/>
  <c r="AF10" i="3"/>
  <c r="AF9" i="3"/>
  <c r="AF8" i="3"/>
  <c r="AF7" i="3"/>
  <c r="AF6" i="3"/>
  <c r="AF5" i="3"/>
  <c r="AC172" i="3"/>
  <c r="AC171" i="3"/>
  <c r="AC170" i="3"/>
  <c r="AC169" i="3"/>
  <c r="AC168" i="3"/>
  <c r="AC167" i="3"/>
  <c r="AC166" i="3"/>
  <c r="AC165" i="3"/>
  <c r="AC164" i="3"/>
  <c r="AC163" i="3"/>
  <c r="AC162" i="3"/>
  <c r="AC161" i="3"/>
  <c r="AC160" i="3"/>
  <c r="AC159" i="3"/>
  <c r="AC158" i="3"/>
  <c r="AC157" i="3"/>
  <c r="AC156" i="3"/>
  <c r="AC155" i="3"/>
  <c r="AC154" i="3"/>
  <c r="AC153" i="3"/>
  <c r="AC152" i="3"/>
  <c r="AC151" i="3"/>
  <c r="AC150" i="3"/>
  <c r="AC149" i="3"/>
  <c r="AC148" i="3"/>
  <c r="AC147" i="3"/>
  <c r="AC146" i="3"/>
  <c r="AC145" i="3"/>
  <c r="AC144" i="3"/>
  <c r="AC143" i="3"/>
  <c r="AC142" i="3"/>
  <c r="AC141" i="3"/>
  <c r="AC140" i="3"/>
  <c r="AC139" i="3"/>
  <c r="AC138" i="3"/>
  <c r="AC137" i="3"/>
  <c r="AC136" i="3"/>
  <c r="AC135" i="3"/>
  <c r="AC134" i="3"/>
  <c r="AC133" i="3"/>
  <c r="AC132" i="3"/>
  <c r="AC131" i="3"/>
  <c r="AC130" i="3"/>
  <c r="AC129" i="3"/>
  <c r="AC128" i="3"/>
  <c r="AC127" i="3"/>
  <c r="AC126" i="3"/>
  <c r="AC125" i="3"/>
  <c r="AC124" i="3"/>
  <c r="AC123" i="3"/>
  <c r="AC122" i="3"/>
  <c r="AC121" i="3"/>
  <c r="AC120" i="3"/>
  <c r="AC119" i="3"/>
  <c r="AC118" i="3"/>
  <c r="AC117" i="3"/>
  <c r="AC116" i="3"/>
  <c r="AC115" i="3"/>
  <c r="AC114" i="3"/>
  <c r="AC113" i="3"/>
  <c r="AC112" i="3"/>
  <c r="AC111" i="3"/>
  <c r="AC110" i="3"/>
  <c r="AC109" i="3"/>
  <c r="AC108" i="3"/>
  <c r="AC107" i="3"/>
  <c r="AC106" i="3"/>
  <c r="AC105" i="3"/>
  <c r="AC104" i="3"/>
  <c r="AC103" i="3"/>
  <c r="AC102" i="3"/>
  <c r="AC101" i="3"/>
  <c r="AC100" i="3"/>
  <c r="AC99" i="3"/>
  <c r="AC98" i="3"/>
  <c r="AC97" i="3"/>
  <c r="AC96" i="3"/>
  <c r="AC95" i="3"/>
  <c r="AC94" i="3"/>
  <c r="AC93" i="3"/>
  <c r="AC92" i="3"/>
  <c r="AC91" i="3"/>
  <c r="AC90" i="3"/>
  <c r="AC89" i="3"/>
  <c r="W27" i="3"/>
  <c r="W26" i="3"/>
  <c r="W25" i="3"/>
  <c r="W24" i="3"/>
  <c r="W23" i="3"/>
  <c r="W22" i="3"/>
  <c r="W21" i="3"/>
  <c r="U14" i="3"/>
  <c r="V14" i="3" s="1"/>
  <c r="U15" i="3"/>
  <c r="V15" i="3" s="1"/>
  <c r="U16" i="3"/>
  <c r="V16" i="3" s="1"/>
  <c r="U17" i="3"/>
  <c r="V17" i="3" s="1"/>
  <c r="U18" i="3"/>
  <c r="V18" i="3" s="1"/>
  <c r="U19" i="3"/>
  <c r="V19" i="3" s="1"/>
  <c r="U20" i="3"/>
  <c r="V20" i="3" s="1"/>
  <c r="U21" i="3"/>
  <c r="V21" i="3" s="1"/>
  <c r="U22" i="3"/>
  <c r="V22" i="3" s="1"/>
  <c r="U23" i="3"/>
  <c r="V23" i="3" s="1"/>
  <c r="U24" i="3"/>
  <c r="V24" i="3" s="1"/>
  <c r="U25" i="3"/>
  <c r="V25" i="3" s="1"/>
  <c r="U26" i="3"/>
  <c r="V26" i="3" s="1"/>
  <c r="U27" i="3"/>
  <c r="V27" i="3" s="1"/>
  <c r="K104" i="3" l="1"/>
  <c r="L104" i="3" s="1"/>
  <c r="M104" i="3" s="1"/>
  <c r="N104" i="3" s="1"/>
  <c r="K103" i="3"/>
  <c r="L103" i="3" s="1"/>
  <c r="M103" i="3" s="1"/>
  <c r="N103" i="3" s="1"/>
  <c r="K102" i="3"/>
  <c r="L102" i="3" s="1"/>
  <c r="M102" i="3" s="1"/>
  <c r="N102" i="3" s="1"/>
  <c r="K101" i="3"/>
  <c r="L101" i="3" s="1"/>
  <c r="M101" i="3" s="1"/>
  <c r="N101" i="3" s="1"/>
  <c r="K100" i="3"/>
  <c r="L100" i="3" s="1"/>
  <c r="M100" i="3" s="1"/>
  <c r="N100" i="3" s="1"/>
  <c r="K99" i="3"/>
  <c r="L99" i="3" s="1"/>
  <c r="M99" i="3" s="1"/>
  <c r="N99" i="3" s="1"/>
  <c r="K98" i="3"/>
  <c r="L98" i="3" s="1"/>
  <c r="M98" i="3" s="1"/>
  <c r="N98" i="3" s="1"/>
  <c r="K97" i="3"/>
  <c r="L97" i="3" s="1"/>
  <c r="M97" i="3" s="1"/>
  <c r="N97" i="3" s="1"/>
  <c r="K96" i="3"/>
  <c r="L96" i="3" s="1"/>
  <c r="M96" i="3" s="1"/>
  <c r="N96" i="3" s="1"/>
  <c r="K95" i="3"/>
  <c r="L95" i="3" s="1"/>
  <c r="M95" i="3" s="1"/>
  <c r="N95" i="3" s="1"/>
  <c r="K94" i="3"/>
  <c r="L94" i="3" s="1"/>
  <c r="M94" i="3" s="1"/>
  <c r="N94" i="3" s="1"/>
  <c r="K93" i="3"/>
  <c r="L93" i="3" s="1"/>
  <c r="M93" i="3" s="1"/>
  <c r="N93" i="3" s="1"/>
  <c r="K92" i="3"/>
  <c r="L92" i="3" s="1"/>
  <c r="M92" i="3" s="1"/>
  <c r="N92" i="3" s="1"/>
  <c r="K91" i="3"/>
  <c r="L91" i="3" s="1"/>
  <c r="M91" i="3" s="1"/>
  <c r="N91" i="3" s="1"/>
  <c r="K90" i="3"/>
  <c r="L90" i="3" s="1"/>
  <c r="M90" i="3" s="1"/>
  <c r="N90" i="3" s="1"/>
  <c r="K89" i="3"/>
  <c r="L89" i="3" s="1"/>
  <c r="M89" i="3" s="1"/>
  <c r="N89" i="3" s="1"/>
  <c r="K88" i="3"/>
  <c r="L88" i="3" s="1"/>
  <c r="M88" i="3" s="1"/>
  <c r="N88" i="3" s="1"/>
  <c r="K87" i="3"/>
  <c r="L87" i="3" s="1"/>
  <c r="M87" i="3" s="1"/>
  <c r="N87" i="3" s="1"/>
  <c r="K86" i="3"/>
  <c r="L86" i="3" s="1"/>
  <c r="M86" i="3" s="1"/>
  <c r="N86" i="3" s="1"/>
  <c r="K85" i="3"/>
  <c r="L85" i="3" s="1"/>
  <c r="M85" i="3" s="1"/>
  <c r="N85" i="3" s="1"/>
  <c r="K84" i="3"/>
  <c r="L84" i="3" s="1"/>
  <c r="M84" i="3" s="1"/>
  <c r="N84" i="3" s="1"/>
  <c r="K83" i="3"/>
  <c r="L83" i="3" s="1"/>
  <c r="M83" i="3" s="1"/>
  <c r="N83" i="3" s="1"/>
  <c r="K82" i="3"/>
  <c r="L82" i="3" s="1"/>
  <c r="M82" i="3" s="1"/>
  <c r="N82" i="3" s="1"/>
  <c r="K81" i="3"/>
  <c r="L81" i="3" s="1"/>
  <c r="M81" i="3" s="1"/>
  <c r="N81" i="3" s="1"/>
  <c r="K80" i="3"/>
  <c r="L80" i="3" s="1"/>
  <c r="M80" i="3" s="1"/>
  <c r="N80" i="3" s="1"/>
  <c r="K79" i="3"/>
  <c r="L79" i="3" s="1"/>
  <c r="M79" i="3" s="1"/>
  <c r="N79" i="3" s="1"/>
  <c r="K78" i="3"/>
  <c r="L78" i="3" s="1"/>
  <c r="M78" i="3" s="1"/>
  <c r="N78" i="3" s="1"/>
  <c r="K77" i="3"/>
  <c r="L77" i="3" s="1"/>
  <c r="M77" i="3" s="1"/>
  <c r="N77" i="3" s="1"/>
  <c r="K76" i="3"/>
  <c r="L76" i="3" s="1"/>
  <c r="M76" i="3" s="1"/>
  <c r="N76" i="3" s="1"/>
  <c r="K75" i="3"/>
  <c r="L75" i="3" s="1"/>
  <c r="M75" i="3" s="1"/>
  <c r="N75" i="3" s="1"/>
  <c r="K74" i="3"/>
  <c r="L74" i="3" s="1"/>
  <c r="M74" i="3" s="1"/>
  <c r="N74" i="3" s="1"/>
  <c r="K73" i="3"/>
  <c r="L73" i="3" s="1"/>
  <c r="M73" i="3" s="1"/>
  <c r="N73" i="3" s="1"/>
  <c r="K72" i="3"/>
  <c r="L72" i="3" s="1"/>
  <c r="M72" i="3" s="1"/>
  <c r="N72" i="3" s="1"/>
  <c r="K71" i="3"/>
  <c r="L71" i="3" s="1"/>
  <c r="M71" i="3" s="1"/>
  <c r="N71" i="3" s="1"/>
  <c r="K70" i="3"/>
  <c r="L70" i="3" s="1"/>
  <c r="M70" i="3" s="1"/>
  <c r="N70" i="3" s="1"/>
  <c r="K69" i="3"/>
  <c r="L69" i="3" s="1"/>
  <c r="M69" i="3" s="1"/>
  <c r="N69" i="3" s="1"/>
  <c r="K68" i="3"/>
  <c r="L68" i="3" s="1"/>
  <c r="M68" i="3" s="1"/>
  <c r="N68" i="3" s="1"/>
  <c r="K67" i="3"/>
  <c r="L67" i="3" s="1"/>
  <c r="M67" i="3" s="1"/>
  <c r="N67" i="3" s="1"/>
  <c r="K66" i="3"/>
  <c r="L66" i="3" s="1"/>
  <c r="M66" i="3" s="1"/>
  <c r="N66" i="3" s="1"/>
  <c r="K65" i="3"/>
  <c r="L65" i="3" s="1"/>
  <c r="M65" i="3" s="1"/>
  <c r="N65" i="3" s="1"/>
  <c r="K64" i="3"/>
  <c r="L64" i="3" s="1"/>
  <c r="M64" i="3" s="1"/>
  <c r="N64" i="3" s="1"/>
  <c r="K63" i="3"/>
  <c r="L63" i="3" s="1"/>
  <c r="M63" i="3" s="1"/>
  <c r="N63" i="3" s="1"/>
  <c r="K62" i="3"/>
  <c r="L62" i="3" s="1"/>
  <c r="M62" i="3" s="1"/>
  <c r="N62" i="3" s="1"/>
  <c r="K61" i="3"/>
  <c r="L61" i="3" s="1"/>
  <c r="M61" i="3" s="1"/>
  <c r="N61" i="3" s="1"/>
  <c r="K60" i="3"/>
  <c r="L60" i="3" s="1"/>
  <c r="M60" i="3" s="1"/>
  <c r="N60" i="3" s="1"/>
  <c r="K59" i="3"/>
  <c r="L59" i="3" s="1"/>
  <c r="M59" i="3" s="1"/>
  <c r="N59" i="3" s="1"/>
  <c r="K58" i="3"/>
  <c r="L58" i="3" s="1"/>
  <c r="M58" i="3" s="1"/>
  <c r="N58" i="3" s="1"/>
  <c r="K57" i="3"/>
  <c r="L57" i="3" s="1"/>
  <c r="M57" i="3" s="1"/>
  <c r="N57" i="3" s="1"/>
  <c r="K56" i="3"/>
  <c r="L56" i="3" s="1"/>
  <c r="M56" i="3" s="1"/>
  <c r="N56" i="3" s="1"/>
  <c r="K55" i="3"/>
  <c r="L55" i="3" s="1"/>
  <c r="M55" i="3" s="1"/>
  <c r="N55" i="3" s="1"/>
  <c r="K54" i="3"/>
  <c r="L54" i="3" s="1"/>
  <c r="M54" i="3" s="1"/>
  <c r="N54" i="3" s="1"/>
  <c r="K53" i="3"/>
  <c r="L53" i="3" s="1"/>
  <c r="M53" i="3" s="1"/>
  <c r="N53" i="3" s="1"/>
  <c r="K52" i="3"/>
  <c r="L52" i="3" s="1"/>
  <c r="M52" i="3" s="1"/>
  <c r="N52" i="3" s="1"/>
  <c r="K51" i="3"/>
  <c r="L51" i="3" s="1"/>
  <c r="M51" i="3" s="1"/>
  <c r="N51" i="3" s="1"/>
  <c r="K50" i="3"/>
  <c r="L50" i="3" s="1"/>
  <c r="M50" i="3" s="1"/>
  <c r="N50" i="3" s="1"/>
  <c r="K49" i="3"/>
  <c r="L49" i="3" s="1"/>
  <c r="M49" i="3" s="1"/>
  <c r="N49" i="3" s="1"/>
  <c r="K48" i="3"/>
  <c r="L48" i="3" s="1"/>
  <c r="M48" i="3" s="1"/>
  <c r="N48" i="3" s="1"/>
  <c r="K47" i="3"/>
  <c r="L47" i="3" s="1"/>
  <c r="M47" i="3" s="1"/>
  <c r="N47" i="3" s="1"/>
  <c r="K46" i="3"/>
  <c r="L46" i="3" s="1"/>
  <c r="M46" i="3" s="1"/>
  <c r="N46" i="3" s="1"/>
  <c r="K45" i="3"/>
  <c r="L45" i="3" s="1"/>
  <c r="M45" i="3" s="1"/>
  <c r="N45" i="3" s="1"/>
  <c r="K44" i="3"/>
  <c r="L44" i="3" s="1"/>
  <c r="M44" i="3" s="1"/>
  <c r="N44" i="3" s="1"/>
  <c r="K43" i="3"/>
  <c r="L43" i="3" s="1"/>
  <c r="M43" i="3" s="1"/>
  <c r="N43" i="3" s="1"/>
  <c r="K42" i="3"/>
  <c r="L42" i="3" s="1"/>
  <c r="M42" i="3" s="1"/>
  <c r="N42" i="3" s="1"/>
  <c r="K41" i="3"/>
  <c r="L41" i="3" s="1"/>
  <c r="M41" i="3" s="1"/>
  <c r="N41" i="3" s="1"/>
  <c r="K40" i="3"/>
  <c r="L40" i="3" s="1"/>
  <c r="M40" i="3" s="1"/>
  <c r="N40" i="3" s="1"/>
  <c r="K39" i="3"/>
  <c r="L39" i="3" s="1"/>
  <c r="M39" i="3" s="1"/>
  <c r="N39" i="3" s="1"/>
  <c r="K38" i="3"/>
  <c r="L38" i="3" s="1"/>
  <c r="M38" i="3" s="1"/>
  <c r="N38" i="3" s="1"/>
  <c r="K37" i="3"/>
  <c r="L37" i="3" s="1"/>
  <c r="M37" i="3" s="1"/>
  <c r="N37" i="3" s="1"/>
  <c r="K36" i="3"/>
  <c r="L36" i="3" s="1"/>
  <c r="M36" i="3" s="1"/>
  <c r="N36" i="3" s="1"/>
  <c r="K35" i="3"/>
  <c r="L35" i="3" s="1"/>
  <c r="M35" i="3" s="1"/>
  <c r="N35" i="3" s="1"/>
  <c r="K34" i="3"/>
  <c r="L34" i="3" s="1"/>
  <c r="M34" i="3" s="1"/>
  <c r="N34" i="3" s="1"/>
  <c r="K33" i="3"/>
  <c r="L33" i="3" s="1"/>
  <c r="M33" i="3" s="1"/>
  <c r="N33" i="3" s="1"/>
  <c r="K32" i="3"/>
  <c r="L32" i="3" s="1"/>
  <c r="M32" i="3" s="1"/>
  <c r="N32" i="3" s="1"/>
  <c r="K31" i="3"/>
  <c r="L31" i="3" s="1"/>
  <c r="M31" i="3" s="1"/>
  <c r="N31" i="3" s="1"/>
  <c r="K30" i="3"/>
  <c r="L30" i="3" s="1"/>
  <c r="M30" i="3" s="1"/>
  <c r="N30" i="3" s="1"/>
  <c r="K29" i="3"/>
  <c r="L29" i="3" s="1"/>
  <c r="M29" i="3" s="1"/>
  <c r="N29" i="3" s="1"/>
  <c r="K28" i="3"/>
  <c r="L28" i="3" s="1"/>
  <c r="M28" i="3" s="1"/>
  <c r="N28" i="3" s="1"/>
  <c r="K27" i="3"/>
  <c r="L27" i="3" s="1"/>
  <c r="M27" i="3" s="1"/>
  <c r="N27" i="3" s="1"/>
  <c r="K26" i="3"/>
  <c r="L26" i="3" s="1"/>
  <c r="M26" i="3" s="1"/>
  <c r="N26" i="3" s="1"/>
  <c r="K25" i="3"/>
  <c r="L25" i="3" s="1"/>
  <c r="M25" i="3" s="1"/>
  <c r="N25" i="3" s="1"/>
  <c r="K24" i="3"/>
  <c r="L24" i="3" s="1"/>
  <c r="M24" i="3" s="1"/>
  <c r="N24" i="3" s="1"/>
  <c r="K23" i="3"/>
  <c r="L23" i="3" s="1"/>
  <c r="M23" i="3" s="1"/>
  <c r="N23" i="3" s="1"/>
  <c r="K22" i="3"/>
  <c r="L22" i="3" s="1"/>
  <c r="M22" i="3" s="1"/>
  <c r="N22" i="3" s="1"/>
  <c r="W15" i="7" l="1"/>
  <c r="W16" i="7"/>
  <c r="W17" i="7"/>
  <c r="W18" i="7"/>
  <c r="W19" i="7"/>
  <c r="W20" i="7"/>
  <c r="W21" i="7"/>
  <c r="W22" i="7"/>
  <c r="W23" i="7"/>
  <c r="I37" i="11" l="1"/>
  <c r="I36" i="11"/>
  <c r="C16" i="12" l="1"/>
  <c r="D16" i="12"/>
  <c r="B16" i="12"/>
  <c r="L6" i="7" l="1"/>
  <c r="L9" i="7" l="1"/>
  <c r="L8" i="7"/>
  <c r="C2" i="12"/>
  <c r="L3" i="7" l="1"/>
  <c r="L4" i="7"/>
  <c r="E4" i="7" l="1"/>
  <c r="E3" i="7"/>
  <c r="C2" i="11"/>
  <c r="E6" i="7"/>
  <c r="W33" i="3"/>
  <c r="E14" i="11" s="1"/>
  <c r="M14" i="11" s="1"/>
  <c r="L14" i="11" s="1"/>
  <c r="E8" i="7" l="1"/>
  <c r="W39" i="3" l="1"/>
  <c r="H41" i="7" s="1"/>
  <c r="G9" i="7" l="1"/>
  <c r="G8" i="7"/>
  <c r="N3" i="7"/>
  <c r="I39" i="11" l="1"/>
  <c r="I40" i="11"/>
  <c r="C5" i="12"/>
  <c r="C6" i="11"/>
  <c r="C6" i="12" l="1"/>
  <c r="C4" i="12"/>
  <c r="C3" i="12"/>
  <c r="C1" i="12"/>
  <c r="C4" i="11"/>
  <c r="C5" i="11"/>
  <c r="C3" i="11"/>
  <c r="C1" i="11"/>
  <c r="T40" i="7"/>
  <c r="L38" i="11" s="1"/>
  <c r="T41" i="7"/>
  <c r="T42" i="7"/>
  <c r="T43" i="7"/>
  <c r="T44" i="7"/>
  <c r="T45" i="7"/>
  <c r="L39" i="11" s="1"/>
  <c r="D14" i="12" s="1"/>
  <c r="T46" i="7"/>
  <c r="S40" i="7"/>
  <c r="K38" i="11" s="1"/>
  <c r="S41" i="7"/>
  <c r="S42" i="7"/>
  <c r="S43" i="7"/>
  <c r="S44" i="7"/>
  <c r="S45" i="7"/>
  <c r="K39" i="11" s="1"/>
  <c r="C14" i="12" s="1"/>
  <c r="S46" i="7"/>
  <c r="R40" i="7"/>
  <c r="J38" i="11" s="1"/>
  <c r="R41" i="7"/>
  <c r="R42" i="7"/>
  <c r="R43" i="7"/>
  <c r="R44" i="7"/>
  <c r="R45" i="7"/>
  <c r="J39" i="11" s="1"/>
  <c r="B14" i="12" s="1"/>
  <c r="R46" i="7"/>
  <c r="K24" i="7"/>
  <c r="I24" i="7"/>
  <c r="G24" i="7"/>
  <c r="M15" i="7"/>
  <c r="M16" i="7"/>
  <c r="M17" i="7"/>
  <c r="M18" i="7"/>
  <c r="M19" i="7"/>
  <c r="M20" i="7"/>
  <c r="M21" i="7"/>
  <c r="M22" i="7"/>
  <c r="M23" i="7"/>
  <c r="M14" i="7"/>
  <c r="M39" i="11" l="1"/>
  <c r="M38" i="11"/>
  <c r="U41" i="7"/>
  <c r="U42" i="7"/>
  <c r="M24" i="7"/>
  <c r="U40" i="7"/>
  <c r="M19" i="11" s="1"/>
  <c r="X17" i="7" l="1"/>
  <c r="X22" i="7"/>
  <c r="X16" i="7"/>
  <c r="X18" i="7"/>
  <c r="X20" i="7"/>
  <c r="X19" i="7"/>
  <c r="X21" i="7"/>
  <c r="X15" i="7"/>
  <c r="X23" i="7"/>
  <c r="X14" i="7"/>
  <c r="E17" i="7"/>
  <c r="E18" i="7"/>
  <c r="E19" i="7"/>
  <c r="E20" i="7"/>
  <c r="E21" i="7"/>
  <c r="E22" i="7"/>
  <c r="E23" i="7"/>
  <c r="E15" i="7"/>
  <c r="C35" i="12" l="1"/>
  <c r="D35" i="12"/>
  <c r="B35" i="12"/>
  <c r="E35" i="12" l="1"/>
  <c r="T39" i="7"/>
  <c r="D15" i="11"/>
  <c r="D16" i="11"/>
  <c r="D25" i="12"/>
  <c r="C15" i="11"/>
  <c r="C16" i="11"/>
  <c r="C25" i="12"/>
  <c r="S39" i="7"/>
  <c r="B15" i="11"/>
  <c r="B16" i="11"/>
  <c r="B25" i="12"/>
  <c r="R39" i="7"/>
  <c r="G73" i="7"/>
  <c r="F73" i="7"/>
  <c r="E73" i="7"/>
  <c r="H72" i="7"/>
  <c r="H71" i="7"/>
  <c r="H70" i="7"/>
  <c r="H69" i="7"/>
  <c r="H68" i="7"/>
  <c r="H67" i="7"/>
  <c r="H66" i="7"/>
  <c r="H65" i="7"/>
  <c r="H64" i="7"/>
  <c r="H63" i="7"/>
  <c r="H62" i="7"/>
  <c r="H61" i="7"/>
  <c r="H60" i="7"/>
  <c r="H59" i="7"/>
  <c r="H58" i="7"/>
  <c r="H57" i="7"/>
  <c r="H56" i="7"/>
  <c r="H55" i="7"/>
  <c r="H54" i="7"/>
  <c r="H53" i="7"/>
  <c r="H52" i="7"/>
  <c r="H51" i="7"/>
  <c r="H50" i="7"/>
  <c r="H49" i="7"/>
  <c r="H48" i="7"/>
  <c r="H47" i="7"/>
  <c r="H46" i="7"/>
  <c r="H45" i="7"/>
  <c r="H44" i="7"/>
  <c r="H43" i="7"/>
  <c r="H42" i="7"/>
  <c r="E22" i="11"/>
  <c r="F22" i="11" s="1"/>
  <c r="G22" i="11" s="1"/>
  <c r="G12" i="7"/>
  <c r="C27" i="7" s="1"/>
  <c r="I41" i="7" l="1"/>
  <c r="J41" i="7" s="1"/>
  <c r="R38" i="7"/>
  <c r="S38" i="7" s="1"/>
  <c r="T38" i="7" s="1"/>
  <c r="U46" i="7"/>
  <c r="U45" i="7"/>
  <c r="M20" i="11" s="1"/>
  <c r="L20" i="11" s="1"/>
  <c r="U39" i="7"/>
  <c r="U44" i="7"/>
  <c r="S47" i="7"/>
  <c r="T47" i="7"/>
  <c r="U43" i="7"/>
  <c r="R47" i="7"/>
  <c r="E40" i="7"/>
  <c r="F40" i="7" s="1"/>
  <c r="G40" i="7" s="1"/>
  <c r="B10" i="11"/>
  <c r="J33" i="11" s="1"/>
  <c r="I12" i="7"/>
  <c r="E27" i="7" s="1"/>
  <c r="H73" i="7" l="1"/>
  <c r="I47" i="7"/>
  <c r="B17" i="11"/>
  <c r="J40" i="11"/>
  <c r="D17" i="11"/>
  <c r="L40" i="11"/>
  <c r="C17" i="11"/>
  <c r="K40" i="11"/>
  <c r="B21" i="11"/>
  <c r="B11" i="12"/>
  <c r="B23" i="12" s="1"/>
  <c r="C23" i="12" s="1"/>
  <c r="D23" i="12" s="1"/>
  <c r="U47" i="7"/>
  <c r="M18" i="11" s="1"/>
  <c r="K12" i="7"/>
  <c r="G27" i="7" s="1"/>
  <c r="M40" i="11" l="1"/>
  <c r="F14" i="11"/>
  <c r="G14" i="11" s="1"/>
  <c r="K10" i="11" l="1"/>
  <c r="AP4" i="3" l="1"/>
  <c r="AQ4" i="3" l="1"/>
  <c r="AV8" i="3" l="1"/>
  <c r="AV9" i="3" s="1"/>
  <c r="AV10" i="3" s="1"/>
  <c r="AV11" i="3" s="1"/>
  <c r="AV12" i="3" s="1"/>
  <c r="AV13" i="3" s="1"/>
  <c r="AV14" i="3" s="1"/>
  <c r="AV15" i="3" s="1"/>
  <c r="AV16" i="3" s="1"/>
  <c r="AV17" i="3" s="1"/>
  <c r="AV18" i="3" s="1"/>
  <c r="AV19" i="3" s="1"/>
  <c r="AV20" i="3" s="1"/>
  <c r="AV21" i="3" s="1"/>
  <c r="AV22" i="3" s="1"/>
  <c r="AV23" i="3" s="1"/>
  <c r="AV24" i="3" s="1"/>
  <c r="AV25" i="3" s="1"/>
  <c r="AV26" i="3" s="1"/>
  <c r="AV27" i="3" s="1"/>
  <c r="AV28" i="3" s="1"/>
  <c r="AV29" i="3" s="1"/>
  <c r="AV30" i="3" s="1"/>
  <c r="AV31" i="3" s="1"/>
  <c r="AV32" i="3" s="1"/>
  <c r="AV33" i="3" s="1"/>
  <c r="AR8" i="3"/>
  <c r="AR9" i="3" s="1"/>
  <c r="AR10" i="3" s="1"/>
  <c r="AR11" i="3" s="1"/>
  <c r="AR12" i="3" s="1"/>
  <c r="AR13" i="3" s="1"/>
  <c r="AR14" i="3" s="1"/>
  <c r="AR15" i="3" s="1"/>
  <c r="AR16" i="3" s="1"/>
  <c r="AR17" i="3" s="1"/>
  <c r="AR18" i="3" s="1"/>
  <c r="AR19" i="3" s="1"/>
  <c r="AR20" i="3" s="1"/>
  <c r="AR21" i="3" s="1"/>
  <c r="AR22" i="3" s="1"/>
  <c r="AR23" i="3" s="1"/>
  <c r="AR24" i="3" s="1"/>
  <c r="AR25" i="3" s="1"/>
  <c r="AR26" i="3" s="1"/>
  <c r="AR27" i="3" s="1"/>
  <c r="AR28" i="3" s="1"/>
  <c r="AR29" i="3" s="1"/>
  <c r="AR30" i="3" s="1"/>
  <c r="AR31" i="3" s="1"/>
  <c r="AR32" i="3" s="1"/>
  <c r="AR33" i="3" s="1"/>
  <c r="W11" i="3"/>
  <c r="T11" i="3"/>
  <c r="W10" i="3"/>
  <c r="T10" i="3"/>
  <c r="W9" i="3"/>
  <c r="T9" i="3"/>
  <c r="W8" i="3"/>
  <c r="T8" i="3"/>
  <c r="W7" i="3"/>
  <c r="T7" i="3"/>
  <c r="W6" i="3"/>
  <c r="T6" i="3"/>
  <c r="W5" i="3"/>
  <c r="T5" i="3"/>
  <c r="Z11" i="3"/>
  <c r="U11" i="3"/>
  <c r="Z10" i="3"/>
  <c r="U10" i="3"/>
  <c r="Z9" i="3"/>
  <c r="U9" i="3"/>
  <c r="Z8" i="3"/>
  <c r="U8" i="3"/>
  <c r="Z7" i="3"/>
  <c r="U7" i="3"/>
  <c r="Z6" i="3"/>
  <c r="U6" i="3"/>
  <c r="Z5" i="3"/>
  <c r="U5" i="3"/>
  <c r="X11" i="3"/>
  <c r="X10" i="3"/>
  <c r="X9" i="3"/>
  <c r="X8" i="3"/>
  <c r="X7" i="3"/>
  <c r="X6" i="3"/>
  <c r="X5" i="3"/>
  <c r="AS4" i="3" l="1"/>
  <c r="AP5" i="3" l="1"/>
  <c r="AD172" i="3" l="1"/>
  <c r="AD171" i="3"/>
  <c r="AD170" i="3"/>
  <c r="AD169" i="3"/>
  <c r="AD168" i="3"/>
  <c r="AD167" i="3"/>
  <c r="AD166" i="3"/>
  <c r="AD165" i="3"/>
  <c r="AD164" i="3"/>
  <c r="AD163" i="3"/>
  <c r="AD162" i="3"/>
  <c r="AD161" i="3"/>
  <c r="AD160" i="3"/>
  <c r="AD159" i="3"/>
  <c r="AD158" i="3"/>
  <c r="AD157" i="3"/>
  <c r="AD156" i="3"/>
  <c r="AD155" i="3"/>
  <c r="AD154" i="3"/>
  <c r="AD153" i="3"/>
  <c r="AD152" i="3"/>
  <c r="AD151" i="3"/>
  <c r="AD150" i="3"/>
  <c r="AD149" i="3"/>
  <c r="AD148" i="3"/>
  <c r="AD147" i="3"/>
  <c r="AD146" i="3"/>
  <c r="AD145" i="3"/>
  <c r="AD144" i="3"/>
  <c r="AD143" i="3"/>
  <c r="AD142" i="3"/>
  <c r="AD141" i="3"/>
  <c r="AD140" i="3"/>
  <c r="AD139" i="3"/>
  <c r="AD138" i="3"/>
  <c r="AD137" i="3"/>
  <c r="AD136" i="3"/>
  <c r="AD135" i="3"/>
  <c r="AD134" i="3"/>
  <c r="AD133" i="3"/>
  <c r="AD132" i="3"/>
  <c r="AD131" i="3"/>
  <c r="AD130" i="3"/>
  <c r="AD129" i="3"/>
  <c r="AD128" i="3"/>
  <c r="AD127" i="3"/>
  <c r="AD126" i="3"/>
  <c r="AD125" i="3"/>
  <c r="AD124" i="3"/>
  <c r="AD123" i="3"/>
  <c r="AD122" i="3"/>
  <c r="AD121" i="3"/>
  <c r="AD120" i="3"/>
  <c r="AD119" i="3"/>
  <c r="AD118" i="3"/>
  <c r="AD117" i="3"/>
  <c r="AD116" i="3"/>
  <c r="AD115" i="3"/>
  <c r="AD114" i="3"/>
  <c r="AD113" i="3"/>
  <c r="AD112" i="3"/>
  <c r="AD111" i="3"/>
  <c r="AD110" i="3"/>
  <c r="AD109" i="3"/>
  <c r="AD108" i="3"/>
  <c r="AD107" i="3"/>
  <c r="AD106" i="3"/>
  <c r="AD105" i="3"/>
  <c r="AD104" i="3"/>
  <c r="AD103" i="3"/>
  <c r="AD102" i="3"/>
  <c r="AD101" i="3"/>
  <c r="AD100" i="3"/>
  <c r="AD99" i="3"/>
  <c r="AD98" i="3"/>
  <c r="AD97" i="3"/>
  <c r="AD96" i="3"/>
  <c r="AD95" i="3"/>
  <c r="AD94" i="3"/>
  <c r="AD93" i="3"/>
  <c r="AD92" i="3"/>
  <c r="AD91" i="3"/>
  <c r="AD90" i="3"/>
  <c r="AD89" i="3"/>
  <c r="AD88" i="3"/>
  <c r="AD87" i="3"/>
  <c r="AD86" i="3"/>
  <c r="AD85" i="3"/>
  <c r="AD84" i="3"/>
  <c r="AD83" i="3"/>
  <c r="AD82" i="3"/>
  <c r="AD81" i="3"/>
  <c r="AD80" i="3"/>
  <c r="AD79" i="3"/>
  <c r="AD78" i="3"/>
  <c r="AD77" i="3"/>
  <c r="AD76" i="3"/>
  <c r="AD75" i="3"/>
  <c r="AD74" i="3"/>
  <c r="AD73" i="3"/>
  <c r="AD72" i="3"/>
  <c r="AD71" i="3"/>
  <c r="AD70" i="3"/>
  <c r="AD69" i="3"/>
  <c r="AD68" i="3"/>
  <c r="AD67" i="3"/>
  <c r="AD66" i="3"/>
  <c r="AD65" i="3"/>
  <c r="AD64" i="3"/>
  <c r="AD63" i="3"/>
  <c r="AD62" i="3"/>
  <c r="AD61" i="3"/>
  <c r="AD60" i="3"/>
  <c r="AD59" i="3"/>
  <c r="AD58" i="3"/>
  <c r="AD57" i="3"/>
  <c r="AD56" i="3"/>
  <c r="AD55" i="3"/>
  <c r="AD54" i="3"/>
  <c r="AD53" i="3"/>
  <c r="AD52" i="3"/>
  <c r="AD51" i="3"/>
  <c r="AD50" i="3"/>
  <c r="AD49" i="3"/>
  <c r="AD48" i="3"/>
  <c r="AD47" i="3"/>
  <c r="AD46" i="3"/>
  <c r="AD45" i="3"/>
  <c r="AD44" i="3"/>
  <c r="AD43" i="3"/>
  <c r="AD42" i="3"/>
  <c r="AD41" i="3"/>
  <c r="AD40" i="3"/>
  <c r="AD39" i="3"/>
  <c r="AD38" i="3"/>
  <c r="AD37" i="3"/>
  <c r="AD36" i="3"/>
  <c r="AD35" i="3"/>
  <c r="AD34" i="3"/>
  <c r="AD33" i="3"/>
  <c r="AD32" i="3"/>
  <c r="AD31" i="3"/>
  <c r="AD30" i="3"/>
  <c r="AD29" i="3"/>
  <c r="AD28" i="3"/>
  <c r="AD27" i="3"/>
  <c r="AD26" i="3"/>
  <c r="AD25" i="3"/>
  <c r="AD24" i="3"/>
  <c r="AD23" i="3"/>
  <c r="AD22" i="3"/>
  <c r="AD21" i="3"/>
  <c r="AD20" i="3"/>
  <c r="AD19" i="3"/>
  <c r="AD18" i="3"/>
  <c r="AD17" i="3"/>
  <c r="AD16" i="3"/>
  <c r="AD15" i="3"/>
  <c r="AD14" i="3"/>
  <c r="AD13" i="3"/>
  <c r="AD12" i="3"/>
  <c r="AD11" i="3"/>
  <c r="AD10" i="3"/>
  <c r="AD9" i="3"/>
  <c r="AD8" i="3"/>
  <c r="AD7" i="3"/>
  <c r="AD6" i="3"/>
  <c r="AU5" i="3"/>
  <c r="AU6" i="3" s="1"/>
  <c r="AU7" i="3" s="1"/>
  <c r="AU8" i="3" s="1"/>
  <c r="AU9" i="3" s="1"/>
  <c r="AU10" i="3" s="1"/>
  <c r="AU11" i="3" s="1"/>
  <c r="AU12" i="3" s="1"/>
  <c r="AU13" i="3" s="1"/>
  <c r="AU14" i="3" s="1"/>
  <c r="AU15" i="3" s="1"/>
  <c r="AU16" i="3" s="1"/>
  <c r="AU17" i="3" s="1"/>
  <c r="AU18" i="3" s="1"/>
  <c r="AU19" i="3" s="1"/>
  <c r="AU20" i="3" s="1"/>
  <c r="AU21" i="3" s="1"/>
  <c r="AU22" i="3" s="1"/>
  <c r="AU23" i="3" s="1"/>
  <c r="AU24" i="3" s="1"/>
  <c r="AU25" i="3" s="1"/>
  <c r="AU26" i="3" s="1"/>
  <c r="AU27" i="3" s="1"/>
  <c r="AU28" i="3" s="1"/>
  <c r="AU29" i="3" s="1"/>
  <c r="AU30" i="3" s="1"/>
  <c r="AU31" i="3" s="1"/>
  <c r="AU32" i="3" s="1"/>
  <c r="AU33" i="3" s="1"/>
  <c r="AQ5" i="3"/>
  <c r="AP6" i="3"/>
  <c r="AP7" i="3" s="1"/>
  <c r="AP8" i="3" s="1"/>
  <c r="AP9" i="3" s="1"/>
  <c r="AP10" i="3" s="1"/>
  <c r="AP11" i="3" s="1"/>
  <c r="AP12" i="3" s="1"/>
  <c r="AP13" i="3" s="1"/>
  <c r="AP14" i="3" s="1"/>
  <c r="AP15" i="3" s="1"/>
  <c r="AP16" i="3" s="1"/>
  <c r="AP17" i="3" s="1"/>
  <c r="AP18" i="3" s="1"/>
  <c r="AP19" i="3" s="1"/>
  <c r="AP20" i="3" s="1"/>
  <c r="AP21" i="3" s="1"/>
  <c r="AP22" i="3" s="1"/>
  <c r="AP23" i="3" s="1"/>
  <c r="AP24" i="3" s="1"/>
  <c r="AP25" i="3" s="1"/>
  <c r="AP26" i="3" s="1"/>
  <c r="AP27" i="3" s="1"/>
  <c r="AP28" i="3" s="1"/>
  <c r="AP29" i="3" s="1"/>
  <c r="AP30" i="3" s="1"/>
  <c r="AP31" i="3" s="1"/>
  <c r="AP32" i="3" s="1"/>
  <c r="AP33" i="3" s="1"/>
  <c r="AD5" i="3"/>
  <c r="AT5" i="3"/>
  <c r="AT6" i="3" s="1"/>
  <c r="AT7" i="3" s="1"/>
  <c r="AT8" i="3" s="1"/>
  <c r="AT9" i="3" s="1"/>
  <c r="AT10" i="3" s="1"/>
  <c r="AT11" i="3" s="1"/>
  <c r="AT12" i="3" s="1"/>
  <c r="AT13" i="3" s="1"/>
  <c r="AT14" i="3" s="1"/>
  <c r="AT15" i="3" s="1"/>
  <c r="AT16" i="3" s="1"/>
  <c r="AT17" i="3" s="1"/>
  <c r="AT18" i="3" s="1"/>
  <c r="AT19" i="3" s="1"/>
  <c r="AT20" i="3" s="1"/>
  <c r="AT21" i="3" s="1"/>
  <c r="AT22" i="3" s="1"/>
  <c r="AT23" i="3" s="1"/>
  <c r="AT24" i="3" s="1"/>
  <c r="AT25" i="3" s="1"/>
  <c r="AT26" i="3" s="1"/>
  <c r="AT27" i="3" s="1"/>
  <c r="AT28" i="3" s="1"/>
  <c r="AT29" i="3" s="1"/>
  <c r="AT30" i="3" s="1"/>
  <c r="AT31" i="3" s="1"/>
  <c r="AT32" i="3" s="1"/>
  <c r="AT33" i="3" s="1"/>
  <c r="K187" i="3"/>
  <c r="L187" i="3" s="1"/>
  <c r="M187" i="3" s="1"/>
  <c r="N187" i="3" s="1"/>
  <c r="K186" i="3"/>
  <c r="L186" i="3" s="1"/>
  <c r="M186" i="3" s="1"/>
  <c r="N186" i="3" s="1"/>
  <c r="K185" i="3"/>
  <c r="L185" i="3" s="1"/>
  <c r="M185" i="3" s="1"/>
  <c r="N185" i="3" s="1"/>
  <c r="K184" i="3"/>
  <c r="L184" i="3" s="1"/>
  <c r="M184" i="3" s="1"/>
  <c r="N184" i="3" s="1"/>
  <c r="K183" i="3"/>
  <c r="L183" i="3" s="1"/>
  <c r="M183" i="3" s="1"/>
  <c r="N183" i="3" s="1"/>
  <c r="K182" i="3"/>
  <c r="L182" i="3" s="1"/>
  <c r="M182" i="3" s="1"/>
  <c r="N182" i="3" s="1"/>
  <c r="K181" i="3"/>
  <c r="L181" i="3" s="1"/>
  <c r="M181" i="3" s="1"/>
  <c r="N181" i="3" s="1"/>
  <c r="K180" i="3"/>
  <c r="L180" i="3" s="1"/>
  <c r="M180" i="3" s="1"/>
  <c r="N180" i="3" s="1"/>
  <c r="K179" i="3"/>
  <c r="L179" i="3" s="1"/>
  <c r="M179" i="3" s="1"/>
  <c r="N179" i="3" s="1"/>
  <c r="K178" i="3"/>
  <c r="L178" i="3" s="1"/>
  <c r="M178" i="3" s="1"/>
  <c r="N178" i="3" s="1"/>
  <c r="K177" i="3"/>
  <c r="L177" i="3" s="1"/>
  <c r="M177" i="3" s="1"/>
  <c r="N177" i="3" s="1"/>
  <c r="K176" i="3"/>
  <c r="L176" i="3" s="1"/>
  <c r="M176" i="3" s="1"/>
  <c r="N176" i="3" s="1"/>
  <c r="K175" i="3"/>
  <c r="L175" i="3" s="1"/>
  <c r="M175" i="3" s="1"/>
  <c r="N175" i="3" s="1"/>
  <c r="K174" i="3"/>
  <c r="L174" i="3" s="1"/>
  <c r="M174" i="3" s="1"/>
  <c r="N174" i="3" s="1"/>
  <c r="K173" i="3"/>
  <c r="L173" i="3" s="1"/>
  <c r="M173" i="3" s="1"/>
  <c r="N173" i="3" s="1"/>
  <c r="K172" i="3"/>
  <c r="L172" i="3" s="1"/>
  <c r="M172" i="3" s="1"/>
  <c r="N172" i="3" s="1"/>
  <c r="K171" i="3"/>
  <c r="L171" i="3" s="1"/>
  <c r="M171" i="3" s="1"/>
  <c r="N171" i="3" s="1"/>
  <c r="K170" i="3"/>
  <c r="L170" i="3" s="1"/>
  <c r="M170" i="3" s="1"/>
  <c r="N170" i="3" s="1"/>
  <c r="K169" i="3"/>
  <c r="L169" i="3" s="1"/>
  <c r="M169" i="3" s="1"/>
  <c r="N169" i="3" s="1"/>
  <c r="K168" i="3"/>
  <c r="L168" i="3" s="1"/>
  <c r="M168" i="3" s="1"/>
  <c r="N168" i="3" s="1"/>
  <c r="K167" i="3"/>
  <c r="L167" i="3" s="1"/>
  <c r="M167" i="3" s="1"/>
  <c r="N167" i="3" s="1"/>
  <c r="K166" i="3"/>
  <c r="L166" i="3" s="1"/>
  <c r="M166" i="3" s="1"/>
  <c r="N166" i="3" s="1"/>
  <c r="K165" i="3"/>
  <c r="L165" i="3" s="1"/>
  <c r="M165" i="3" s="1"/>
  <c r="N165" i="3" s="1"/>
  <c r="K164" i="3"/>
  <c r="L164" i="3" s="1"/>
  <c r="M164" i="3" s="1"/>
  <c r="N164" i="3" s="1"/>
  <c r="K163" i="3"/>
  <c r="L163" i="3" s="1"/>
  <c r="M163" i="3" s="1"/>
  <c r="N163" i="3" s="1"/>
  <c r="K162" i="3"/>
  <c r="L162" i="3" s="1"/>
  <c r="M162" i="3" s="1"/>
  <c r="N162" i="3" s="1"/>
  <c r="K161" i="3"/>
  <c r="L161" i="3" s="1"/>
  <c r="M161" i="3" s="1"/>
  <c r="N161" i="3" s="1"/>
  <c r="K160" i="3"/>
  <c r="L160" i="3" s="1"/>
  <c r="M160" i="3" s="1"/>
  <c r="N160" i="3" s="1"/>
  <c r="K159" i="3"/>
  <c r="L159" i="3" s="1"/>
  <c r="M159" i="3" s="1"/>
  <c r="N159" i="3" s="1"/>
  <c r="K158" i="3"/>
  <c r="L158" i="3" s="1"/>
  <c r="M158" i="3" s="1"/>
  <c r="N158" i="3" s="1"/>
  <c r="K157" i="3"/>
  <c r="L157" i="3" s="1"/>
  <c r="M157" i="3" s="1"/>
  <c r="N157" i="3" s="1"/>
  <c r="K156" i="3"/>
  <c r="L156" i="3" s="1"/>
  <c r="M156" i="3" s="1"/>
  <c r="N156" i="3" s="1"/>
  <c r="K155" i="3"/>
  <c r="L155" i="3" s="1"/>
  <c r="M155" i="3" s="1"/>
  <c r="N155" i="3" s="1"/>
  <c r="K154" i="3"/>
  <c r="L154" i="3" s="1"/>
  <c r="M154" i="3" s="1"/>
  <c r="N154" i="3" s="1"/>
  <c r="K153" i="3"/>
  <c r="L153" i="3" s="1"/>
  <c r="M153" i="3" s="1"/>
  <c r="N153" i="3" s="1"/>
  <c r="K152" i="3"/>
  <c r="L152" i="3" s="1"/>
  <c r="M152" i="3" s="1"/>
  <c r="N152" i="3" s="1"/>
  <c r="K151" i="3"/>
  <c r="L151" i="3" s="1"/>
  <c r="M151" i="3" s="1"/>
  <c r="N151" i="3" s="1"/>
  <c r="K150" i="3"/>
  <c r="L150" i="3" s="1"/>
  <c r="M150" i="3" s="1"/>
  <c r="N150" i="3" s="1"/>
  <c r="K149" i="3"/>
  <c r="L149" i="3" s="1"/>
  <c r="M149" i="3" s="1"/>
  <c r="N149" i="3" s="1"/>
  <c r="K148" i="3"/>
  <c r="L148" i="3" s="1"/>
  <c r="M148" i="3" s="1"/>
  <c r="N148" i="3" s="1"/>
  <c r="K147" i="3"/>
  <c r="L147" i="3" s="1"/>
  <c r="M147" i="3" s="1"/>
  <c r="N147" i="3" s="1"/>
  <c r="K146" i="3"/>
  <c r="L146" i="3" s="1"/>
  <c r="M146" i="3" s="1"/>
  <c r="N146" i="3" s="1"/>
  <c r="K145" i="3"/>
  <c r="L145" i="3" s="1"/>
  <c r="M145" i="3" s="1"/>
  <c r="N145" i="3" s="1"/>
  <c r="K144" i="3"/>
  <c r="L144" i="3" s="1"/>
  <c r="M144" i="3" s="1"/>
  <c r="N144" i="3" s="1"/>
  <c r="K143" i="3"/>
  <c r="L143" i="3" s="1"/>
  <c r="M143" i="3" s="1"/>
  <c r="N143" i="3" s="1"/>
  <c r="K142" i="3"/>
  <c r="L142" i="3" s="1"/>
  <c r="M142" i="3" s="1"/>
  <c r="N142" i="3" s="1"/>
  <c r="K141" i="3"/>
  <c r="L141" i="3" s="1"/>
  <c r="M141" i="3" s="1"/>
  <c r="N141" i="3" s="1"/>
  <c r="K140" i="3"/>
  <c r="L140" i="3" s="1"/>
  <c r="M140" i="3" s="1"/>
  <c r="N140" i="3" s="1"/>
  <c r="K139" i="3"/>
  <c r="L139" i="3" s="1"/>
  <c r="M139" i="3" s="1"/>
  <c r="N139" i="3" s="1"/>
  <c r="K138" i="3"/>
  <c r="L138" i="3" s="1"/>
  <c r="M138" i="3" s="1"/>
  <c r="N138" i="3" s="1"/>
  <c r="K137" i="3"/>
  <c r="L137" i="3" s="1"/>
  <c r="M137" i="3" s="1"/>
  <c r="N137" i="3" s="1"/>
  <c r="K136" i="3"/>
  <c r="L136" i="3" s="1"/>
  <c r="M136" i="3" s="1"/>
  <c r="N136" i="3" s="1"/>
  <c r="K135" i="3"/>
  <c r="L135" i="3" s="1"/>
  <c r="M135" i="3" s="1"/>
  <c r="N135" i="3" s="1"/>
  <c r="K134" i="3"/>
  <c r="L134" i="3" s="1"/>
  <c r="M134" i="3" s="1"/>
  <c r="N134" i="3" s="1"/>
  <c r="K133" i="3"/>
  <c r="L133" i="3" s="1"/>
  <c r="M133" i="3" s="1"/>
  <c r="N133" i="3" s="1"/>
  <c r="K132" i="3"/>
  <c r="L132" i="3" s="1"/>
  <c r="M132" i="3" s="1"/>
  <c r="N132" i="3" s="1"/>
  <c r="K131" i="3"/>
  <c r="L131" i="3" s="1"/>
  <c r="M131" i="3" s="1"/>
  <c r="N131" i="3" s="1"/>
  <c r="K130" i="3"/>
  <c r="L130" i="3" s="1"/>
  <c r="M130" i="3" s="1"/>
  <c r="N130" i="3" s="1"/>
  <c r="K129" i="3"/>
  <c r="L129" i="3" s="1"/>
  <c r="M129" i="3" s="1"/>
  <c r="N129" i="3" s="1"/>
  <c r="K128" i="3"/>
  <c r="L128" i="3" s="1"/>
  <c r="M128" i="3" s="1"/>
  <c r="N128" i="3" s="1"/>
  <c r="K127" i="3"/>
  <c r="L127" i="3" s="1"/>
  <c r="M127" i="3" s="1"/>
  <c r="N127" i="3" s="1"/>
  <c r="K126" i="3"/>
  <c r="L126" i="3" s="1"/>
  <c r="M126" i="3" s="1"/>
  <c r="N126" i="3" s="1"/>
  <c r="K125" i="3"/>
  <c r="L125" i="3" s="1"/>
  <c r="M125" i="3" s="1"/>
  <c r="N125" i="3" s="1"/>
  <c r="K124" i="3"/>
  <c r="L124" i="3" s="1"/>
  <c r="M124" i="3" s="1"/>
  <c r="N124" i="3" s="1"/>
  <c r="K123" i="3"/>
  <c r="L123" i="3" s="1"/>
  <c r="M123" i="3" s="1"/>
  <c r="N123" i="3" s="1"/>
  <c r="K122" i="3"/>
  <c r="L122" i="3" s="1"/>
  <c r="M122" i="3" s="1"/>
  <c r="N122" i="3" s="1"/>
  <c r="K121" i="3"/>
  <c r="L121" i="3" s="1"/>
  <c r="M121" i="3" s="1"/>
  <c r="N121" i="3" s="1"/>
  <c r="K120" i="3"/>
  <c r="L120" i="3" s="1"/>
  <c r="M120" i="3" s="1"/>
  <c r="N120" i="3" s="1"/>
  <c r="K119" i="3"/>
  <c r="L119" i="3" s="1"/>
  <c r="M119" i="3" s="1"/>
  <c r="N119" i="3" s="1"/>
  <c r="K118" i="3"/>
  <c r="L118" i="3" s="1"/>
  <c r="M118" i="3" s="1"/>
  <c r="N118" i="3" s="1"/>
  <c r="K117" i="3"/>
  <c r="L117" i="3" s="1"/>
  <c r="M117" i="3" s="1"/>
  <c r="N117" i="3" s="1"/>
  <c r="K116" i="3"/>
  <c r="L116" i="3" s="1"/>
  <c r="M116" i="3" s="1"/>
  <c r="N116" i="3" s="1"/>
  <c r="K115" i="3"/>
  <c r="L115" i="3" s="1"/>
  <c r="M115" i="3" s="1"/>
  <c r="N115" i="3" s="1"/>
  <c r="K114" i="3"/>
  <c r="L114" i="3" s="1"/>
  <c r="M114" i="3" s="1"/>
  <c r="N114" i="3" s="1"/>
  <c r="K113" i="3"/>
  <c r="L113" i="3" s="1"/>
  <c r="M113" i="3" s="1"/>
  <c r="N113" i="3" s="1"/>
  <c r="K112" i="3"/>
  <c r="L112" i="3" s="1"/>
  <c r="M112" i="3" s="1"/>
  <c r="N112" i="3" s="1"/>
  <c r="K111" i="3"/>
  <c r="L111" i="3" s="1"/>
  <c r="M111" i="3" s="1"/>
  <c r="N111" i="3" s="1"/>
  <c r="K110" i="3"/>
  <c r="L110" i="3" s="1"/>
  <c r="M110" i="3" s="1"/>
  <c r="N110" i="3" s="1"/>
  <c r="K109" i="3"/>
  <c r="L109" i="3" s="1"/>
  <c r="M109" i="3" s="1"/>
  <c r="N109" i="3" s="1"/>
  <c r="K108" i="3"/>
  <c r="L108" i="3" s="1"/>
  <c r="M108" i="3" s="1"/>
  <c r="N108" i="3" s="1"/>
  <c r="K107" i="3"/>
  <c r="L107" i="3" s="1"/>
  <c r="M107" i="3" s="1"/>
  <c r="N107" i="3" s="1"/>
  <c r="K106" i="3"/>
  <c r="L106" i="3" s="1"/>
  <c r="M106" i="3" s="1"/>
  <c r="N106" i="3" s="1"/>
  <c r="K105" i="3"/>
  <c r="L105" i="3" s="1"/>
  <c r="M105" i="3" s="1"/>
  <c r="N105" i="3" s="1"/>
  <c r="L21" i="3"/>
  <c r="M21" i="3" s="1"/>
  <c r="N21" i="3" s="1"/>
  <c r="L20" i="3"/>
  <c r="M20" i="3" s="1"/>
  <c r="N20" i="3" s="1"/>
  <c r="L19" i="3"/>
  <c r="M19" i="3" s="1"/>
  <c r="N19" i="3" s="1"/>
  <c r="L18" i="3"/>
  <c r="M18" i="3" s="1"/>
  <c r="N18" i="3" s="1"/>
  <c r="L17" i="3"/>
  <c r="M17" i="3" s="1"/>
  <c r="N17" i="3" s="1"/>
  <c r="L16" i="3"/>
  <c r="M16" i="3" s="1"/>
  <c r="N16" i="3" s="1"/>
  <c r="L15" i="3"/>
  <c r="M15" i="3" s="1"/>
  <c r="N15" i="3" s="1"/>
  <c r="L14" i="3"/>
  <c r="M14" i="3" s="1"/>
  <c r="N14" i="3" s="1"/>
  <c r="L13" i="3"/>
  <c r="M13" i="3" s="1"/>
  <c r="N13" i="3" s="1"/>
  <c r="L12" i="3"/>
  <c r="M12" i="3" s="1"/>
  <c r="N12" i="3" s="1"/>
  <c r="L11" i="3"/>
  <c r="M11" i="3" s="1"/>
  <c r="N11" i="3" s="1"/>
  <c r="L10" i="3"/>
  <c r="M10" i="3" s="1"/>
  <c r="N10" i="3" s="1"/>
  <c r="L9" i="3"/>
  <c r="M9" i="3" s="1"/>
  <c r="N9" i="3" s="1"/>
  <c r="L8" i="3"/>
  <c r="M8" i="3" s="1"/>
  <c r="N8" i="3" s="1"/>
  <c r="L7" i="3"/>
  <c r="M7" i="3" s="1"/>
  <c r="N7" i="3" s="1"/>
  <c r="L6" i="3"/>
  <c r="M6" i="3" s="1"/>
  <c r="N6" i="3" s="1"/>
  <c r="L5" i="3"/>
  <c r="M5" i="3" s="1"/>
  <c r="N5" i="3" s="1"/>
  <c r="N4" i="3"/>
  <c r="F81" i="3"/>
  <c r="F80" i="3"/>
  <c r="F74" i="3"/>
  <c r="F71" i="3"/>
  <c r="F66" i="3"/>
  <c r="F65" i="3"/>
  <c r="F64" i="3"/>
  <c r="F63" i="3"/>
  <c r="F62" i="3"/>
  <c r="F61" i="3"/>
  <c r="F60" i="3"/>
  <c r="F8" i="3"/>
  <c r="F59" i="3"/>
  <c r="F58" i="3"/>
  <c r="F57" i="3"/>
  <c r="F56" i="3"/>
  <c r="F55" i="3"/>
  <c r="F54" i="3"/>
  <c r="F7" i="3"/>
  <c r="F53" i="3"/>
  <c r="F5" i="3"/>
  <c r="F52" i="3"/>
  <c r="F6" i="3"/>
  <c r="F51" i="3"/>
  <c r="F50" i="3"/>
  <c r="F49" i="3"/>
  <c r="F48" i="3"/>
  <c r="F47" i="3"/>
  <c r="F46" i="3"/>
  <c r="F45" i="3"/>
  <c r="F4" i="3"/>
  <c r="F44" i="3"/>
  <c r="F43" i="3"/>
  <c r="F10" i="3"/>
  <c r="F42" i="3"/>
  <c r="F41" i="3"/>
  <c r="F40" i="3"/>
  <c r="F39" i="3"/>
  <c r="F38" i="3"/>
  <c r="F37" i="3"/>
  <c r="F36" i="3"/>
  <c r="F35" i="3"/>
  <c r="F34" i="3"/>
  <c r="F33" i="3"/>
  <c r="F32" i="3"/>
  <c r="F31" i="3"/>
  <c r="F30" i="3"/>
  <c r="F29" i="3"/>
  <c r="F28" i="3"/>
  <c r="F27" i="3"/>
  <c r="F26" i="3"/>
  <c r="F25" i="3"/>
  <c r="F24" i="3"/>
  <c r="F23" i="3"/>
  <c r="F22" i="3"/>
  <c r="F21" i="3"/>
  <c r="F20" i="3"/>
  <c r="F19" i="3"/>
  <c r="F18" i="3"/>
  <c r="F17" i="3"/>
  <c r="F14" i="3"/>
  <c r="F16" i="3"/>
  <c r="F3" i="3"/>
  <c r="E16" i="7" s="1"/>
  <c r="F15" i="3"/>
  <c r="F13" i="3"/>
  <c r="F2" i="3"/>
  <c r="F9" i="3"/>
  <c r="F11" i="3"/>
  <c r="F12" i="3"/>
  <c r="F70" i="3" l="1"/>
  <c r="H33" i="7"/>
  <c r="H29" i="7"/>
  <c r="T13" i="7" s="1"/>
  <c r="F33" i="7"/>
  <c r="F29" i="7"/>
  <c r="D33" i="7"/>
  <c r="D29" i="7"/>
  <c r="L17" i="7"/>
  <c r="L21" i="7"/>
  <c r="J17" i="7"/>
  <c r="J21" i="7"/>
  <c r="H17" i="7"/>
  <c r="H21" i="7"/>
  <c r="H30" i="7"/>
  <c r="T14" i="7" s="1"/>
  <c r="L36" i="11" s="1"/>
  <c r="H34" i="7"/>
  <c r="F30" i="7"/>
  <c r="S14" i="7" s="1"/>
  <c r="F34" i="7"/>
  <c r="D30" i="7"/>
  <c r="D34" i="7"/>
  <c r="L22" i="7"/>
  <c r="J22" i="7"/>
  <c r="H22" i="7"/>
  <c r="H31" i="7"/>
  <c r="H35" i="7"/>
  <c r="F31" i="7"/>
  <c r="F35" i="7"/>
  <c r="D31" i="7"/>
  <c r="D35" i="7"/>
  <c r="L19" i="7"/>
  <c r="L23" i="7"/>
  <c r="J19" i="7"/>
  <c r="J23" i="7"/>
  <c r="H19" i="7"/>
  <c r="H23" i="7"/>
  <c r="H32" i="7"/>
  <c r="H36" i="7"/>
  <c r="F32" i="7"/>
  <c r="F36" i="7"/>
  <c r="D32" i="7"/>
  <c r="D36" i="7"/>
  <c r="L20" i="7"/>
  <c r="J20" i="7"/>
  <c r="H20" i="7"/>
  <c r="L18" i="7"/>
  <c r="J18" i="7"/>
  <c r="H18" i="7"/>
  <c r="F69" i="3"/>
  <c r="E69" i="3" s="1"/>
  <c r="F75" i="3"/>
  <c r="E75" i="3" s="1"/>
  <c r="F78" i="3"/>
  <c r="E78" i="3" s="1"/>
  <c r="F72" i="3"/>
  <c r="E72" i="3" s="1"/>
  <c r="E81" i="3"/>
  <c r="F68" i="3"/>
  <c r="E68" i="3" s="1"/>
  <c r="F73" i="3"/>
  <c r="E73" i="3" s="1"/>
  <c r="E71" i="3"/>
  <c r="E80" i="3"/>
  <c r="E19" i="3"/>
  <c r="E2" i="3"/>
  <c r="E20" i="3"/>
  <c r="E38" i="3"/>
  <c r="E50" i="3"/>
  <c r="E31" i="3"/>
  <c r="E49" i="3"/>
  <c r="AQ6" i="3"/>
  <c r="AQ7" i="3" s="1"/>
  <c r="AS5" i="3"/>
  <c r="E27" i="3"/>
  <c r="E16" i="3"/>
  <c r="E7" i="3"/>
  <c r="E70" i="3"/>
  <c r="E74" i="3"/>
  <c r="E15" i="3"/>
  <c r="E32" i="3"/>
  <c r="E65" i="3"/>
  <c r="E8" i="3"/>
  <c r="E60" i="3"/>
  <c r="E64" i="3"/>
  <c r="E11" i="3"/>
  <c r="E13" i="3"/>
  <c r="E24" i="3"/>
  <c r="E35" i="3"/>
  <c r="E10" i="3"/>
  <c r="E34" i="3"/>
  <c r="E42" i="3"/>
  <c r="E36" i="3"/>
  <c r="E55" i="3"/>
  <c r="E18" i="3"/>
  <c r="E22" i="3"/>
  <c r="E37" i="3"/>
  <c r="E56" i="3"/>
  <c r="F76" i="3"/>
  <c r="E76" i="3" s="1"/>
  <c r="F79" i="3"/>
  <c r="E79" i="3" s="1"/>
  <c r="F77" i="3"/>
  <c r="E77" i="3" s="1"/>
  <c r="E25" i="3"/>
  <c r="E41" i="3"/>
  <c r="E21" i="3"/>
  <c r="E23" i="3"/>
  <c r="E39" i="3"/>
  <c r="E47" i="3"/>
  <c r="E54" i="3"/>
  <c r="E61" i="3"/>
  <c r="E33" i="3"/>
  <c r="E51" i="3"/>
  <c r="E52" i="3"/>
  <c r="E53" i="3"/>
  <c r="E58" i="3"/>
  <c r="E63" i="3"/>
  <c r="E29" i="3"/>
  <c r="E44" i="3"/>
  <c r="E45" i="3"/>
  <c r="E17" i="3"/>
  <c r="E3" i="3"/>
  <c r="E12" i="3"/>
  <c r="E14" i="3"/>
  <c r="E40" i="3"/>
  <c r="E46" i="3"/>
  <c r="E5" i="3"/>
  <c r="E59" i="3"/>
  <c r="E66" i="3"/>
  <c r="E30" i="3"/>
  <c r="E4" i="3"/>
  <c r="E6" i="3"/>
  <c r="E57" i="3"/>
  <c r="E28" i="3"/>
  <c r="E43" i="3"/>
  <c r="E62" i="3"/>
  <c r="E9" i="3"/>
  <c r="E26" i="3"/>
  <c r="E48" i="3"/>
  <c r="L35" i="11" l="1"/>
  <c r="S13" i="7"/>
  <c r="K35" i="11" s="1"/>
  <c r="R14" i="7"/>
  <c r="J36" i="11" s="1"/>
  <c r="R13" i="7"/>
  <c r="J35" i="11" s="1"/>
  <c r="K36" i="11"/>
  <c r="D12" i="11"/>
  <c r="AS6" i="3"/>
  <c r="AQ8" i="3"/>
  <c r="AS7" i="3"/>
  <c r="F14" i="7"/>
  <c r="W14" i="7" s="1"/>
  <c r="B23" i="11"/>
  <c r="C23" i="11"/>
  <c r="D23" i="11"/>
  <c r="F22" i="7"/>
  <c r="R10" i="7"/>
  <c r="C11" i="12"/>
  <c r="D11" i="12" s="1"/>
  <c r="E29" i="12"/>
  <c r="E30" i="12"/>
  <c r="E17" i="12"/>
  <c r="E18" i="12"/>
  <c r="E25" i="11"/>
  <c r="C21" i="11"/>
  <c r="D21" i="11" s="1"/>
  <c r="C10" i="11"/>
  <c r="K33" i="11" s="1"/>
  <c r="M35" i="11" l="1"/>
  <c r="C12" i="11"/>
  <c r="U14" i="7"/>
  <c r="M13" i="11" s="1"/>
  <c r="M36" i="11"/>
  <c r="U13" i="7"/>
  <c r="M12" i="11" s="1"/>
  <c r="L12" i="11" s="1"/>
  <c r="B12" i="11"/>
  <c r="H14" i="7"/>
  <c r="J14" i="7"/>
  <c r="L14" i="7"/>
  <c r="D10" i="11"/>
  <c r="L33" i="11" s="1"/>
  <c r="D16" i="7"/>
  <c r="AQ9" i="3"/>
  <c r="AS8" i="3"/>
  <c r="D15" i="7"/>
  <c r="E15" i="11"/>
  <c r="D14" i="7"/>
  <c r="E23" i="11"/>
  <c r="F18" i="7"/>
  <c r="E17" i="11"/>
  <c r="F19" i="7"/>
  <c r="D23" i="7"/>
  <c r="D22" i="7"/>
  <c r="F16" i="7"/>
  <c r="D19" i="7"/>
  <c r="D18" i="7"/>
  <c r="F15" i="7"/>
  <c r="D21" i="7"/>
  <c r="F21" i="7"/>
  <c r="D20" i="7"/>
  <c r="F23" i="7"/>
  <c r="D17" i="7"/>
  <c r="F17" i="7"/>
  <c r="F20" i="7"/>
  <c r="L19" i="11"/>
  <c r="Y24" i="7" l="1"/>
  <c r="L15" i="7"/>
  <c r="T12" i="7" s="1"/>
  <c r="J15" i="7"/>
  <c r="S12" i="7" s="1"/>
  <c r="H15" i="7"/>
  <c r="R12" i="7" s="1"/>
  <c r="H16" i="7"/>
  <c r="J16" i="7"/>
  <c r="L16" i="7"/>
  <c r="T11" i="7" s="1"/>
  <c r="I36" i="7"/>
  <c r="I31" i="7"/>
  <c r="I34" i="7"/>
  <c r="I35" i="7"/>
  <c r="I30" i="7"/>
  <c r="I33" i="7"/>
  <c r="I32" i="7"/>
  <c r="I29" i="7"/>
  <c r="AQ10" i="3"/>
  <c r="AS9" i="3"/>
  <c r="E25" i="12"/>
  <c r="S10" i="7"/>
  <c r="E14" i="12"/>
  <c r="D11" i="11" l="1"/>
  <c r="U12" i="7"/>
  <c r="R11" i="7"/>
  <c r="B11" i="11" s="1"/>
  <c r="H24" i="7"/>
  <c r="T15" i="7"/>
  <c r="D13" i="11" s="1"/>
  <c r="L37" i="11" s="1"/>
  <c r="D12" i="12" s="1"/>
  <c r="L24" i="7"/>
  <c r="S11" i="7"/>
  <c r="J24" i="7"/>
  <c r="AQ11" i="3"/>
  <c r="AS10" i="3"/>
  <c r="E16" i="11"/>
  <c r="T10" i="7"/>
  <c r="B37" i="12" l="1"/>
  <c r="J34" i="11"/>
  <c r="B13" i="12" s="1"/>
  <c r="D37" i="12"/>
  <c r="L34" i="11"/>
  <c r="D13" i="12" s="1"/>
  <c r="R15" i="7"/>
  <c r="B13" i="11" s="1"/>
  <c r="S15" i="7"/>
  <c r="C13" i="11" s="1"/>
  <c r="K37" i="11" s="1"/>
  <c r="C12" i="12" s="1"/>
  <c r="C11" i="11"/>
  <c r="K34" i="11" s="1"/>
  <c r="C13" i="12" s="1"/>
  <c r="D34" i="12"/>
  <c r="M10" i="11"/>
  <c r="AQ12" i="3"/>
  <c r="AS11" i="3"/>
  <c r="N19" i="7"/>
  <c r="N22" i="7"/>
  <c r="N20" i="7"/>
  <c r="N17" i="7"/>
  <c r="N23" i="7"/>
  <c r="N18" i="7"/>
  <c r="N16" i="7"/>
  <c r="N14" i="7"/>
  <c r="N21" i="7"/>
  <c r="L10" i="11" l="1"/>
  <c r="K42" i="11"/>
  <c r="J37" i="11"/>
  <c r="M34" i="11"/>
  <c r="B34" i="12"/>
  <c r="R16" i="7"/>
  <c r="U15" i="7"/>
  <c r="M15" i="11" s="1"/>
  <c r="S16" i="7"/>
  <c r="C37" i="12"/>
  <c r="C34" i="12"/>
  <c r="L18" i="11"/>
  <c r="N24" i="7"/>
  <c r="L13" i="11"/>
  <c r="B26" i="12"/>
  <c r="N15" i="7"/>
  <c r="B18" i="11"/>
  <c r="T16" i="7"/>
  <c r="AQ13" i="3"/>
  <c r="AS12" i="3"/>
  <c r="M37" i="11" l="1"/>
  <c r="M42" i="11" s="1"/>
  <c r="B12" i="12"/>
  <c r="J42" i="11"/>
  <c r="E34" i="12"/>
  <c r="M11" i="11"/>
  <c r="L11" i="11" s="1"/>
  <c r="AQ14" i="3"/>
  <c r="AS13" i="3"/>
  <c r="C26" i="12"/>
  <c r="D26" i="12" l="1"/>
  <c r="AQ15" i="3"/>
  <c r="AS14" i="3"/>
  <c r="C18" i="11"/>
  <c r="C15" i="12"/>
  <c r="B24" i="12"/>
  <c r="B15" i="12"/>
  <c r="AQ16" i="3" l="1"/>
  <c r="AS15" i="3"/>
  <c r="D18" i="11"/>
  <c r="D24" i="12"/>
  <c r="D27" i="12" s="1"/>
  <c r="C24" i="12"/>
  <c r="C27" i="12" s="1"/>
  <c r="B27" i="12"/>
  <c r="AQ17" i="3" l="1"/>
  <c r="AS16" i="3"/>
  <c r="D15" i="12"/>
  <c r="AQ18" i="3" l="1"/>
  <c r="AS17" i="3"/>
  <c r="AQ19" i="3" l="1"/>
  <c r="AS18" i="3"/>
  <c r="AQ20" i="3" l="1"/>
  <c r="AS19" i="3"/>
  <c r="U11" i="7"/>
  <c r="M17" i="11" s="1"/>
  <c r="M16" i="11" s="1"/>
  <c r="M21" i="11" s="1"/>
  <c r="E12" i="11" l="1"/>
  <c r="AQ21" i="3"/>
  <c r="AS20" i="3"/>
  <c r="L16" i="11"/>
  <c r="L17" i="11"/>
  <c r="E37" i="12"/>
  <c r="U16" i="7"/>
  <c r="AQ22" i="3" l="1"/>
  <c r="AS21" i="3"/>
  <c r="E26" i="12"/>
  <c r="E13" i="12"/>
  <c r="E11" i="11"/>
  <c r="AQ23" i="3" l="1"/>
  <c r="AS22" i="3"/>
  <c r="AQ24" i="3" l="1"/>
  <c r="AS23" i="3"/>
  <c r="E12" i="12"/>
  <c r="E15" i="12" s="1"/>
  <c r="E13" i="11"/>
  <c r="L15" i="11"/>
  <c r="E18" i="11" l="1"/>
  <c r="B26" i="11" s="1"/>
  <c r="F18" i="11"/>
  <c r="AQ25" i="3"/>
  <c r="AS24" i="3"/>
  <c r="A26" i="11" l="1"/>
  <c r="D26" i="11"/>
  <c r="C26" i="11"/>
  <c r="C20" i="12" s="1"/>
  <c r="B27" i="11"/>
  <c r="E24" i="12"/>
  <c r="E27" i="12" s="1"/>
  <c r="AQ26" i="3"/>
  <c r="AS25" i="3"/>
  <c r="D28" i="12" l="1"/>
  <c r="D31" i="12" s="1"/>
  <c r="D20" i="12"/>
  <c r="D27" i="11"/>
  <c r="C27" i="11"/>
  <c r="E26" i="11"/>
  <c r="D29" i="11" s="1"/>
  <c r="D19" i="12"/>
  <c r="B28" i="12"/>
  <c r="B31" i="12" s="1"/>
  <c r="B19" i="12"/>
  <c r="C28" i="12"/>
  <c r="C31" i="12" s="1"/>
  <c r="C19" i="12"/>
  <c r="E16" i="12"/>
  <c r="E19" i="12" s="1"/>
  <c r="AQ27" i="3"/>
  <c r="AS26" i="3"/>
  <c r="A29" i="11" l="1"/>
  <c r="B20" i="12"/>
  <c r="E20" i="12" s="1"/>
  <c r="E29" i="11"/>
  <c r="E30" i="11" s="1"/>
  <c r="E27" i="11"/>
  <c r="H25" i="11"/>
  <c r="M23" i="11"/>
  <c r="M25" i="11"/>
  <c r="E28" i="12"/>
  <c r="E31" i="12" s="1"/>
  <c r="AQ28" i="3"/>
  <c r="AS27" i="3"/>
  <c r="AQ29" i="3" l="1"/>
  <c r="AS28" i="3"/>
  <c r="AQ30" i="3" l="1"/>
  <c r="AS29" i="3"/>
  <c r="AQ31" i="3" l="1"/>
  <c r="AS30" i="3"/>
  <c r="AQ32" i="3" l="1"/>
  <c r="AS31" i="3"/>
  <c r="AQ33" i="3" l="1"/>
  <c r="AS33" i="3" s="1"/>
  <c r="AS32"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13" authorId="0" shapeId="0" xr:uid="{00000000-0006-0000-0100-000001000000}">
      <text>
        <r>
          <rPr>
            <b/>
            <sz val="9"/>
            <color indexed="81"/>
            <rFont val="Tahoma"/>
            <family val="2"/>
          </rPr>
          <t>Author:</t>
        </r>
        <r>
          <rPr>
            <sz val="9"/>
            <color indexed="81"/>
            <rFont val="Tahoma"/>
            <family val="2"/>
          </rPr>
          <t xml:space="preserve">
Her kan, om ønskelig, navn angis</t>
        </r>
      </text>
    </comment>
    <comment ref="E13" authorId="0" shapeId="0" xr:uid="{00000000-0006-0000-0100-000002000000}">
      <text>
        <r>
          <rPr>
            <sz val="11"/>
            <color indexed="81"/>
            <rFont val="Tahoma"/>
            <family val="2"/>
          </rPr>
          <t xml:space="preserve">
Det er kun for timeføring i Maconomy at det er aktuelt å velge  priskategori. </t>
        </r>
      </text>
    </comment>
    <comment ref="G13" authorId="0" shapeId="0" xr:uid="{00000000-0006-0000-0100-000003000000}">
      <text>
        <r>
          <rPr>
            <sz val="9"/>
            <color indexed="81"/>
            <rFont val="Tahoma"/>
            <family val="2"/>
          </rPr>
          <t xml:space="preserve">
</t>
        </r>
        <r>
          <rPr>
            <u/>
            <sz val="11"/>
            <color indexed="81"/>
            <rFont val="Tahoma"/>
            <family val="2"/>
          </rPr>
          <t xml:space="preserve">Legg inn antall timer </t>
        </r>
        <r>
          <rPr>
            <sz val="11"/>
            <color indexed="81"/>
            <rFont val="Tahoma"/>
            <family val="2"/>
          </rPr>
          <t xml:space="preserve">hvis timeføring i Maconomy skal benyttes.
</t>
        </r>
        <r>
          <rPr>
            <u/>
            <sz val="11"/>
            <color indexed="81"/>
            <rFont val="Tahoma"/>
            <family val="2"/>
          </rPr>
          <t xml:space="preserve">Legg inn beløp </t>
        </r>
        <r>
          <rPr>
            <sz val="11"/>
            <color indexed="81"/>
            <rFont val="Tahoma"/>
            <family val="2"/>
          </rPr>
          <t>ved ompostering av lønn. Budsjettert beløp skal være ekskl. sosiale kostnader. Sosiale og indirekte kostnader beregnes automatisk i Sum.</t>
        </r>
        <r>
          <rPr>
            <sz val="9"/>
            <color indexed="81"/>
            <rFont val="Tahoma"/>
            <family val="2"/>
          </rPr>
          <t xml:space="preserve">
</t>
        </r>
      </text>
    </comment>
    <comment ref="I13" authorId="0" shapeId="0" xr:uid="{FF49A78E-D2B0-431D-BB6B-8FFB03244CE0}">
      <text>
        <r>
          <rPr>
            <b/>
            <sz val="9"/>
            <color indexed="81"/>
            <rFont val="Tahoma"/>
            <family val="2"/>
          </rPr>
          <t xml:space="preserve">
</t>
        </r>
        <r>
          <rPr>
            <sz val="11"/>
            <color indexed="81"/>
            <rFont val="Tahoma"/>
            <family val="2"/>
          </rPr>
          <t xml:space="preserve">Legg inn </t>
        </r>
        <r>
          <rPr>
            <u/>
            <sz val="11"/>
            <color indexed="81"/>
            <rFont val="Tahoma"/>
            <family val="2"/>
          </rPr>
          <t>antall timer</t>
        </r>
        <r>
          <rPr>
            <sz val="11"/>
            <color indexed="81"/>
            <rFont val="Tahoma"/>
            <family val="2"/>
          </rPr>
          <t xml:space="preserve"> hvis timeføring i Maconomy skal benyttes.
</t>
        </r>
        <r>
          <rPr>
            <u/>
            <sz val="11"/>
            <color indexed="81"/>
            <rFont val="Tahoma"/>
            <family val="2"/>
          </rPr>
          <t xml:space="preserve">Legg inn beløp </t>
        </r>
        <r>
          <rPr>
            <sz val="11"/>
            <color indexed="81"/>
            <rFont val="Tahoma"/>
            <family val="2"/>
          </rPr>
          <t>ved ompostering av lønn. Budsjettert beløp skal være ekskl. sosiale kostnader. Sosiale og indirekte kostnader beregnes automatisk i Sum.</t>
        </r>
        <r>
          <rPr>
            <sz val="9"/>
            <color indexed="81"/>
            <rFont val="Tahoma"/>
            <family val="2"/>
          </rPr>
          <t xml:space="preserve">
</t>
        </r>
      </text>
    </comment>
    <comment ref="A28" authorId="0" shapeId="0" xr:uid="{00000000-0006-0000-0100-000006000000}">
      <text>
        <r>
          <rPr>
            <b/>
            <sz val="9"/>
            <color indexed="81"/>
            <rFont val="Tahoma"/>
            <family val="2"/>
          </rPr>
          <t>Author:</t>
        </r>
        <r>
          <rPr>
            <sz val="9"/>
            <color indexed="81"/>
            <rFont val="Tahoma"/>
            <family val="2"/>
          </rPr>
          <t xml:space="preserve">
Her kan, om ønskelig, navn angis</t>
        </r>
      </text>
    </comment>
    <comment ref="C41" authorId="0" shapeId="0" xr:uid="{00000000-0006-0000-0100-000007000000}">
      <text>
        <r>
          <rPr>
            <b/>
            <sz val="9"/>
            <color indexed="81"/>
            <rFont val="Tahoma"/>
            <family val="2"/>
          </rPr>
          <t>Author:</t>
        </r>
        <r>
          <rPr>
            <sz val="9"/>
            <color indexed="81"/>
            <rFont val="Tahoma"/>
            <family val="2"/>
          </rPr>
          <t xml:space="preserve">
Malen foreslår automatisk intern husleie. Dersom kurset/undervisningen skal foregå utenfor NTNUs lokaler settes intern husleie til 0</t>
        </r>
      </text>
    </comment>
    <comment ref="A46" authorId="0" shapeId="0" xr:uid="{00000000-0006-0000-0100-000008000000}">
      <text>
        <r>
          <rPr>
            <b/>
            <sz val="9"/>
            <color indexed="81"/>
            <rFont val="Tahoma"/>
            <family val="2"/>
          </rPr>
          <t>Author:</t>
        </r>
        <r>
          <rPr>
            <sz val="9"/>
            <color indexed="81"/>
            <rFont val="Tahoma"/>
            <family val="2"/>
          </rPr>
          <t xml:space="preserve">
Ved bruk av lab eller lignende i undervisningen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E14" authorId="0" shapeId="0" xr:uid="{00000000-0006-0000-0200-000001000000}">
      <text>
        <r>
          <rPr>
            <b/>
            <sz val="9"/>
            <color indexed="81"/>
            <rFont val="Tahoma"/>
            <family val="2"/>
          </rPr>
          <t>Author:</t>
        </r>
        <r>
          <rPr>
            <sz val="9"/>
            <color indexed="81"/>
            <rFont val="Tahoma"/>
            <family val="2"/>
          </rPr>
          <t xml:space="preserve">
Indirekte kostnader studenter beregnes basert på vekttall/undervisningstimer. Må periodiseres manuelt</t>
        </r>
      </text>
    </comment>
    <comment ref="E22" authorId="0" shapeId="0" xr:uid="{00000000-0006-0000-0200-000002000000}">
      <text>
        <r>
          <rPr>
            <b/>
            <sz val="9"/>
            <color indexed="81"/>
            <rFont val="Tahoma"/>
            <family val="2"/>
          </rPr>
          <t>Author:</t>
        </r>
        <r>
          <rPr>
            <sz val="9"/>
            <color indexed="81"/>
            <rFont val="Tahoma"/>
            <family val="2"/>
          </rPr>
          <t xml:space="preserve">
Studentbetalingen må periodiseres manuelt</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13" authorId="0" shapeId="0" xr:uid="{00000000-0006-0000-0300-000001000000}">
      <text>
        <r>
          <rPr>
            <b/>
            <sz val="9"/>
            <color indexed="81"/>
            <rFont val="Tahoma"/>
            <family val="2"/>
          </rPr>
          <t>Author:</t>
        </r>
        <r>
          <rPr>
            <sz val="9"/>
            <color indexed="81"/>
            <rFont val="Tahoma"/>
            <family val="2"/>
          </rPr>
          <t xml:space="preserve">
Omfatter timeføring/ompostering av lønn for medarbeidere som er definert som faste i forbindelse med budsjetteringen. Omfatter ikke tilleggslønn/ekstra honorar til fast ansatte.</t>
        </r>
      </text>
    </comment>
    <comment ref="A14" authorId="0" shapeId="0" xr:uid="{00000000-0006-0000-0300-000002000000}">
      <text>
        <r>
          <rPr>
            <b/>
            <sz val="9"/>
            <color indexed="81"/>
            <rFont val="Tahoma"/>
            <family val="2"/>
          </rPr>
          <t>Author:</t>
        </r>
        <r>
          <rPr>
            <sz val="9"/>
            <color indexed="81"/>
            <rFont val="Tahoma"/>
            <family val="2"/>
          </rPr>
          <t xml:space="preserve">
Inkluderer kun prosjektets leiestedsbruk på eget institutt</t>
        </r>
      </text>
    </comment>
    <comment ref="A16" authorId="0" shapeId="0" xr:uid="{00000000-0006-0000-0300-000003000000}">
      <text>
        <r>
          <rPr>
            <b/>
            <sz val="9"/>
            <color indexed="81"/>
            <rFont val="Tahoma"/>
            <family val="2"/>
          </rPr>
          <t>Author:</t>
        </r>
        <r>
          <rPr>
            <sz val="9"/>
            <color indexed="81"/>
            <rFont val="Tahoma"/>
            <family val="2"/>
          </rPr>
          <t xml:space="preserve">
Omfatter både lokal og sentral egenfinansiering</t>
        </r>
      </text>
    </comment>
    <comment ref="A28" authorId="0" shapeId="0" xr:uid="{00000000-0006-0000-0300-000004000000}">
      <text>
        <r>
          <rPr>
            <b/>
            <sz val="9"/>
            <color indexed="81"/>
            <rFont val="Tahoma"/>
            <family val="2"/>
          </rPr>
          <t>Author:</t>
        </r>
        <r>
          <rPr>
            <sz val="9"/>
            <color indexed="81"/>
            <rFont val="Tahoma"/>
            <family val="2"/>
          </rPr>
          <t xml:space="preserve">
Samme kommentar som under BFV - omfatter både sentral og lokal egenfinansiering</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P2" authorId="0" shapeId="0" xr:uid="{00000000-0006-0000-0400-000001000000}">
      <text>
        <r>
          <rPr>
            <b/>
            <sz val="9"/>
            <color indexed="81"/>
            <rFont val="Tahoma"/>
            <family val="2"/>
          </rPr>
          <t>Author:</t>
        </r>
        <r>
          <rPr>
            <sz val="9"/>
            <color indexed="81"/>
            <rFont val="Tahoma"/>
            <family val="2"/>
          </rPr>
          <t xml:space="preserve">
Prisstigningen pr år er kummulativ</t>
        </r>
      </text>
    </comment>
    <comment ref="AT2" authorId="0" shapeId="0" xr:uid="{00000000-0006-0000-0400-000002000000}">
      <text>
        <r>
          <rPr>
            <b/>
            <sz val="9"/>
            <color indexed="81"/>
            <rFont val="Tahoma"/>
            <family val="2"/>
          </rPr>
          <t>Author:</t>
        </r>
        <r>
          <rPr>
            <sz val="9"/>
            <color indexed="81"/>
            <rFont val="Tahoma"/>
            <family val="2"/>
          </rPr>
          <t xml:space="preserve">
Prisstigningen pr år er kummulativ</t>
        </r>
      </text>
    </comment>
  </commentList>
</comments>
</file>

<file path=xl/sharedStrings.xml><?xml version="1.0" encoding="utf-8"?>
<sst xmlns="http://schemas.openxmlformats.org/spreadsheetml/2006/main" count="823" uniqueCount="469">
  <si>
    <t>Amanuensis</t>
  </si>
  <si>
    <t>Avdelingsdirektør</t>
  </si>
  <si>
    <t>Avdelingsingeniør</t>
  </si>
  <si>
    <t>Avdelingsleder</t>
  </si>
  <si>
    <t>Avdelingssykepleier</t>
  </si>
  <si>
    <t>Bedriftsfysioterapeut</t>
  </si>
  <si>
    <t>Bedriftslege</t>
  </si>
  <si>
    <t>Bedriftssykepleier</t>
  </si>
  <si>
    <t>Bibliotekar</t>
  </si>
  <si>
    <t>Dekan</t>
  </si>
  <si>
    <t>Direktør</t>
  </si>
  <si>
    <t>Dosent</t>
  </si>
  <si>
    <t>Driftsleder</t>
  </si>
  <si>
    <t>Driftsoperatør</t>
  </si>
  <si>
    <t>Driftstekniker</t>
  </si>
  <si>
    <t>Fagarbeider m/fagbrev</t>
  </si>
  <si>
    <t>Forsker</t>
  </si>
  <si>
    <t>Forskningssjef</t>
  </si>
  <si>
    <t>Fullmektig</t>
  </si>
  <si>
    <t>Førsteamanuensis</t>
  </si>
  <si>
    <t>Førsteamanuensis II</t>
  </si>
  <si>
    <t>Førstebibliotekar</t>
  </si>
  <si>
    <t>Førstefullmektig</t>
  </si>
  <si>
    <t>Førstekonsulent</t>
  </si>
  <si>
    <t>Førstelektor</t>
  </si>
  <si>
    <t>Førstesekretær</t>
  </si>
  <si>
    <t>Hjelpearbeider</t>
  </si>
  <si>
    <t>Hovedbibliotekar</t>
  </si>
  <si>
    <t>Høgskolelektor</t>
  </si>
  <si>
    <t>Høgskolelærer/øvingslærer</t>
  </si>
  <si>
    <t>Ingeniør</t>
  </si>
  <si>
    <t>Instituttleder</t>
  </si>
  <si>
    <t>Klinikkveterinær</t>
  </si>
  <si>
    <t>Konsulent</t>
  </si>
  <si>
    <t>Kontorsjef</t>
  </si>
  <si>
    <t>Laboratorieassistent</t>
  </si>
  <si>
    <t>Lærling</t>
  </si>
  <si>
    <t>Lærling (reform  94)</t>
  </si>
  <si>
    <t>Overingeniør</t>
  </si>
  <si>
    <t>Postdoktor</t>
  </si>
  <si>
    <t>Professor</t>
  </si>
  <si>
    <t>Professor II</t>
  </si>
  <si>
    <t>Prorektor</t>
  </si>
  <si>
    <t>Prosjektleder</t>
  </si>
  <si>
    <t>Psykolog med godkjent spesiali</t>
  </si>
  <si>
    <t>Renholder</t>
  </si>
  <si>
    <t>Renholdsleder</t>
  </si>
  <si>
    <t>Rådgiver</t>
  </si>
  <si>
    <t>Sekretær</t>
  </si>
  <si>
    <t>Seksjonssjef</t>
  </si>
  <si>
    <t>Seniorarkitekt</t>
  </si>
  <si>
    <t>Senioringeniør</t>
  </si>
  <si>
    <t>Seniorkonsulent</t>
  </si>
  <si>
    <t>Seniorrådgiver</t>
  </si>
  <si>
    <t>Sjefingeniør</t>
  </si>
  <si>
    <t>Sjåfør</t>
  </si>
  <si>
    <t>Spesialbibliotekar</t>
  </si>
  <si>
    <t>Stipendiat</t>
  </si>
  <si>
    <t>Tekniker</t>
  </si>
  <si>
    <t>Undervisningsleder</t>
  </si>
  <si>
    <t>Unge arbeidstakere</t>
  </si>
  <si>
    <t>Universitetsbibliotekar</t>
  </si>
  <si>
    <t>Universitetslektor</t>
  </si>
  <si>
    <t>Universitetslektor I</t>
  </si>
  <si>
    <t>Vitenskapelig assistent</t>
  </si>
  <si>
    <t>Lønnstrinn</t>
  </si>
  <si>
    <t>B-tabell</t>
  </si>
  <si>
    <t> </t>
  </si>
  <si>
    <t>Årslønn</t>
  </si>
  <si>
    <t>Ltr</t>
  </si>
  <si>
    <r>
      <t>   Bruttolønn</t>
    </r>
    <r>
      <rPr>
        <b/>
        <vertAlign val="superscript"/>
        <sz val="10"/>
        <rFont val="Arial"/>
        <family val="2"/>
      </rPr>
      <t>1) Pr. År</t>
    </r>
  </si>
  <si>
    <r>
      <t xml:space="preserve">       Bruttolønn - OU </t>
    </r>
    <r>
      <rPr>
        <b/>
        <vertAlign val="superscript"/>
        <sz val="10"/>
        <rFont val="Arial"/>
        <family val="2"/>
      </rPr>
      <t>2) Pr år</t>
    </r>
  </si>
  <si>
    <t>   Pr. mnd.</t>
  </si>
  <si>
    <t>Time</t>
  </si>
  <si>
    <t>Dagslønn</t>
  </si>
  <si>
    <t xml:space="preserve">Stilling </t>
  </si>
  <si>
    <t>Tekn./adm.</t>
  </si>
  <si>
    <t>Kategori</t>
  </si>
  <si>
    <t>Direkte</t>
  </si>
  <si>
    <t>Total</t>
  </si>
  <si>
    <t>~ltr</t>
  </si>
  <si>
    <t>Årsverk forskning TDI</t>
  </si>
  <si>
    <t>Vekt forsk.årsverk</t>
  </si>
  <si>
    <t>Ny sats forskning</t>
  </si>
  <si>
    <t>Kostnadsbærer arb.plass</t>
  </si>
  <si>
    <t>Vekt arb.plass</t>
  </si>
  <si>
    <t>Ny arb.plassats</t>
  </si>
  <si>
    <t>NTNU</t>
  </si>
  <si>
    <t>HiST</t>
  </si>
  <si>
    <t>HiG</t>
  </si>
  <si>
    <t>HiÅ</t>
  </si>
  <si>
    <t>Sum</t>
  </si>
  <si>
    <t xml:space="preserve">Pr time: </t>
  </si>
  <si>
    <t>Personressurs</t>
  </si>
  <si>
    <t>Pers.1</t>
  </si>
  <si>
    <t>Pers.2</t>
  </si>
  <si>
    <t>Pers.3</t>
  </si>
  <si>
    <t>Pers.4</t>
  </si>
  <si>
    <t>Pers.5</t>
  </si>
  <si>
    <t>Pers.6</t>
  </si>
  <si>
    <t>Pers.7</t>
  </si>
  <si>
    <t>Pers.8</t>
  </si>
  <si>
    <t>Pers.9</t>
  </si>
  <si>
    <t>Pers.10</t>
  </si>
  <si>
    <t>Årslønn med ferieuttak</t>
  </si>
  <si>
    <t>Sosiale kostnader</t>
  </si>
  <si>
    <t>% sosiale</t>
  </si>
  <si>
    <t>Vitenskapelig</t>
  </si>
  <si>
    <t>Sluttdato</t>
  </si>
  <si>
    <t>Budsjettenhet</t>
  </si>
  <si>
    <t>År</t>
  </si>
  <si>
    <t>Måneder</t>
  </si>
  <si>
    <t>Årsverkssats i kr</t>
  </si>
  <si>
    <t>Indirekte kostnader</t>
  </si>
  <si>
    <t xml:space="preserve">Total </t>
  </si>
  <si>
    <t>Priskategori</t>
  </si>
  <si>
    <t>Tekn./Adm. 7</t>
  </si>
  <si>
    <t>Forsker 7</t>
  </si>
  <si>
    <t>Tekn./Adm. 6</t>
  </si>
  <si>
    <t>Forsker 6</t>
  </si>
  <si>
    <t>Tekn./Adm. 5</t>
  </si>
  <si>
    <t>Forsker 5</t>
  </si>
  <si>
    <t>Tekn./Adm. 4</t>
  </si>
  <si>
    <t>Forsker 4</t>
  </si>
  <si>
    <t>Tekn./Adm. 3</t>
  </si>
  <si>
    <t>Forsker 3</t>
  </si>
  <si>
    <t>Forsker 2</t>
  </si>
  <si>
    <t>Tekn./Adm. 2</t>
  </si>
  <si>
    <t>Tekn./Adm. 1</t>
  </si>
  <si>
    <t>Forsker 1</t>
  </si>
  <si>
    <t>Indirekte</t>
  </si>
  <si>
    <t>Antall timer</t>
  </si>
  <si>
    <t>Direkte kostnad</t>
  </si>
  <si>
    <t xml:space="preserve">Tabell ajour pr: </t>
  </si>
  <si>
    <t xml:space="preserve">Tabell ajour pr </t>
  </si>
  <si>
    <t>Driftskategori</t>
  </si>
  <si>
    <t>Andre driftskostnader</t>
  </si>
  <si>
    <t>Prio</t>
  </si>
  <si>
    <t>Kostnadstype</t>
  </si>
  <si>
    <t>Beskrivelse</t>
  </si>
  <si>
    <t>Sum total</t>
  </si>
  <si>
    <t>Oppsummering driftskostnader</t>
  </si>
  <si>
    <t>Sum Ekstern finansiering</t>
  </si>
  <si>
    <t>Sum kostnader</t>
  </si>
  <si>
    <t>Sum finansiering</t>
  </si>
  <si>
    <t>Kummulativ</t>
  </si>
  <si>
    <t>pr år</t>
  </si>
  <si>
    <t>Prisstigning direktelønn</t>
  </si>
  <si>
    <t>Prisstigning Timelønn</t>
  </si>
  <si>
    <t>Næringsphd</t>
  </si>
  <si>
    <t>Eget leiested</t>
  </si>
  <si>
    <t>Fast ansatt?</t>
  </si>
  <si>
    <t>Ja</t>
  </si>
  <si>
    <t>Nei</t>
  </si>
  <si>
    <t>Totalt</t>
  </si>
  <si>
    <t>Insentivmidler EU</t>
  </si>
  <si>
    <t>Lønnsoverføring til BFV</t>
  </si>
  <si>
    <t>Brutto overføringer til BFV</t>
  </si>
  <si>
    <t>Egenfinansiering fra BFV</t>
  </si>
  <si>
    <t>Netto overføringer til BFV</t>
  </si>
  <si>
    <t>Lønnskostnader grunnlag for indirekte kostnader</t>
  </si>
  <si>
    <t>Alle tall i 1000kr</t>
  </si>
  <si>
    <t>%</t>
  </si>
  <si>
    <t>Tekn./Adm. 7 ikke ferieuttak</t>
  </si>
  <si>
    <t>Tekn./Adm. 6 ikke ferieuttak</t>
  </si>
  <si>
    <t>Tekn./Adm. 5 ikke ferieuttak</t>
  </si>
  <si>
    <t>Tekn./Adm. 4 ikke ferieuttak</t>
  </si>
  <si>
    <t>Tekn./Adm. 3 ikke ferieuttak</t>
  </si>
  <si>
    <t>Tekn./Adm. 2 ikke ferieuttak</t>
  </si>
  <si>
    <t>Tekn./Adm. 1 ikke ferieuttak</t>
  </si>
  <si>
    <t>Forsker 7 ikke ferieuttak</t>
  </si>
  <si>
    <t>Forsker 6 ikke ferieuttak</t>
  </si>
  <si>
    <t>Forsker 5 ikke ferieuttak</t>
  </si>
  <si>
    <t>Forsker 4 ikke ferieuttak</t>
  </si>
  <si>
    <t>Forsker 3 ikke ferieuttak</t>
  </si>
  <si>
    <t>Forsker 2 ikke ferieuttak</t>
  </si>
  <si>
    <t>Forsker 1 ikke ferieuttak</t>
  </si>
  <si>
    <t>19F</t>
  </si>
  <si>
    <t>20F</t>
  </si>
  <si>
    <t>21F</t>
  </si>
  <si>
    <t>22F</t>
  </si>
  <si>
    <t>23F</t>
  </si>
  <si>
    <t>24F</t>
  </si>
  <si>
    <t>25F</t>
  </si>
  <si>
    <t>26F</t>
  </si>
  <si>
    <t>27F</t>
  </si>
  <si>
    <t>28F</t>
  </si>
  <si>
    <t>29F</t>
  </si>
  <si>
    <t>30F</t>
  </si>
  <si>
    <t>31F</t>
  </si>
  <si>
    <t>32F</t>
  </si>
  <si>
    <t>33F</t>
  </si>
  <si>
    <t>34F</t>
  </si>
  <si>
    <t>35F</t>
  </si>
  <si>
    <t>36F</t>
  </si>
  <si>
    <t>37F</t>
  </si>
  <si>
    <t>38F</t>
  </si>
  <si>
    <t>39F</t>
  </si>
  <si>
    <t>40F</t>
  </si>
  <si>
    <t>41F</t>
  </si>
  <si>
    <t>42F</t>
  </si>
  <si>
    <t>43F</t>
  </si>
  <si>
    <t>44F</t>
  </si>
  <si>
    <t>45F</t>
  </si>
  <si>
    <t>46F</t>
  </si>
  <si>
    <t>47F</t>
  </si>
  <si>
    <t>48F</t>
  </si>
  <si>
    <t>49F</t>
  </si>
  <si>
    <t>50F</t>
  </si>
  <si>
    <t>51F</t>
  </si>
  <si>
    <t>52F</t>
  </si>
  <si>
    <t>53F</t>
  </si>
  <si>
    <t>54F</t>
  </si>
  <si>
    <t>55F</t>
  </si>
  <si>
    <t>56F</t>
  </si>
  <si>
    <t>57F</t>
  </si>
  <si>
    <t>58F</t>
  </si>
  <si>
    <t>59F</t>
  </si>
  <si>
    <t>60F</t>
  </si>
  <si>
    <t>61F</t>
  </si>
  <si>
    <t>62F</t>
  </si>
  <si>
    <t>63F</t>
  </si>
  <si>
    <t>64F</t>
  </si>
  <si>
    <t>65F</t>
  </si>
  <si>
    <t>66F</t>
  </si>
  <si>
    <t>67F</t>
  </si>
  <si>
    <t>68F</t>
  </si>
  <si>
    <t>69F</t>
  </si>
  <si>
    <t>70F</t>
  </si>
  <si>
    <t>71F</t>
  </si>
  <si>
    <t>72F</t>
  </si>
  <si>
    <t>73F</t>
  </si>
  <si>
    <t>74F</t>
  </si>
  <si>
    <t>75F</t>
  </si>
  <si>
    <t>76F</t>
  </si>
  <si>
    <t>77F</t>
  </si>
  <si>
    <t>78F</t>
  </si>
  <si>
    <t>79F</t>
  </si>
  <si>
    <t>80F</t>
  </si>
  <si>
    <t>81F</t>
  </si>
  <si>
    <t>82F</t>
  </si>
  <si>
    <t>83F</t>
  </si>
  <si>
    <t>84F</t>
  </si>
  <si>
    <t>85F</t>
  </si>
  <si>
    <t>86F</t>
  </si>
  <si>
    <t>87F</t>
  </si>
  <si>
    <t>88F</t>
  </si>
  <si>
    <t>89F</t>
  </si>
  <si>
    <t>90F</t>
  </si>
  <si>
    <t>91F</t>
  </si>
  <si>
    <t>92F</t>
  </si>
  <si>
    <t>93F</t>
  </si>
  <si>
    <t>94F</t>
  </si>
  <si>
    <t>95F</t>
  </si>
  <si>
    <t>96F</t>
  </si>
  <si>
    <t>97F</t>
  </si>
  <si>
    <t>98F</t>
  </si>
  <si>
    <t>99F</t>
  </si>
  <si>
    <t>100F</t>
  </si>
  <si>
    <t>Oppgave</t>
  </si>
  <si>
    <t>Tekst</t>
  </si>
  <si>
    <t>Linjetype</t>
  </si>
  <si>
    <t>Antall</t>
  </si>
  <si>
    <t>Tid</t>
  </si>
  <si>
    <t>Leiestedsbelastninger</t>
  </si>
  <si>
    <t>Beløp</t>
  </si>
  <si>
    <t>B600</t>
  </si>
  <si>
    <t>Andre driftskostnader - Budsjett</t>
  </si>
  <si>
    <t>Sum Kostpris</t>
  </si>
  <si>
    <t>Automatisk beregnet egenfinansiering</t>
  </si>
  <si>
    <t>Forslag, budsjett til Maconomy</t>
  </si>
  <si>
    <t>Sats indirekte kostnader</t>
  </si>
  <si>
    <t>ltr</t>
  </si>
  <si>
    <t>18F</t>
  </si>
  <si>
    <t>Kostpris pr enhet, basis</t>
  </si>
  <si>
    <t>Kostpris total</t>
  </si>
  <si>
    <t>Lønn - inkl. faste tillegg</t>
  </si>
  <si>
    <t>101F</t>
  </si>
  <si>
    <t>Direkte personalkostnader - rammelønnede</t>
  </si>
  <si>
    <t>Direkte personalkostnader - prosjektlønnede</t>
  </si>
  <si>
    <t>Indirekte personalkostnader</t>
  </si>
  <si>
    <t>Timepris År 1</t>
  </si>
  <si>
    <t>Vektet timepris år 1</t>
  </si>
  <si>
    <t>Dette er kostpris år1</t>
  </si>
  <si>
    <t>Avvik mellom timekostnad indeksregulert og år 1 er justert her</t>
  </si>
  <si>
    <t>Indir. Kostn. Timer K</t>
  </si>
  <si>
    <t>Indir. Kostn. Timer D</t>
  </si>
  <si>
    <t>B914</t>
  </si>
  <si>
    <t>B913</t>
  </si>
  <si>
    <t>IK - justert</t>
  </si>
  <si>
    <t>Budsjett godkjent</t>
  </si>
  <si>
    <t>Dato</t>
  </si>
  <si>
    <t>Signatur inst.leder</t>
  </si>
  <si>
    <t>Indirekte kostnader pr. studiepoeng</t>
  </si>
  <si>
    <t xml:space="preserve">Sats gjeldende for  </t>
  </si>
  <si>
    <t>Type aktivitet</t>
  </si>
  <si>
    <t>Kurstype</t>
  </si>
  <si>
    <t>Etterutdanning</t>
  </si>
  <si>
    <t>Videreutdanning</t>
  </si>
  <si>
    <t>KDs Fin.kat.</t>
  </si>
  <si>
    <t>A</t>
  </si>
  <si>
    <t>B</t>
  </si>
  <si>
    <t>C</t>
  </si>
  <si>
    <t>D</t>
  </si>
  <si>
    <t>E</t>
  </si>
  <si>
    <t>F</t>
  </si>
  <si>
    <t>KDs finansieringskategori</t>
  </si>
  <si>
    <t xml:space="preserve">Sum indirekte kostnader </t>
  </si>
  <si>
    <t>Totalkost</t>
  </si>
  <si>
    <t>Avtalt honorar
(ex. Sos. Kostn.)</t>
  </si>
  <si>
    <t>Stillingsbetegn.</t>
  </si>
  <si>
    <t>Forventet antall studenter</t>
  </si>
  <si>
    <t xml:space="preserve">Oppsummering lønn og honorarer: </t>
  </si>
  <si>
    <t>Indirekte kostnader studenter (periodiseres man.)</t>
  </si>
  <si>
    <t>Honorar - m/faktura</t>
  </si>
  <si>
    <t>Leie lokaler - eksternt</t>
  </si>
  <si>
    <t>Servering</t>
  </si>
  <si>
    <t>Kursmateriell/bøker</t>
  </si>
  <si>
    <t>Prosjektstart (normalt dagens dato)</t>
  </si>
  <si>
    <t>Egenbetaling fra student (pris)</t>
  </si>
  <si>
    <t>Type tilbud (etter- eller videreutd.)</t>
  </si>
  <si>
    <t>Arbeid som betales/honoreres særskilt via lønnssystemet (unntatt faktura fra selvstendig næringsdrivende)</t>
  </si>
  <si>
    <t>TOTAL</t>
  </si>
  <si>
    <t>Studiepoeng</t>
  </si>
  <si>
    <t>Andre kostnader</t>
  </si>
  <si>
    <t>Bevertning</t>
  </si>
  <si>
    <t>B912</t>
  </si>
  <si>
    <t>Total finansiering</t>
  </si>
  <si>
    <t>Dekning indirekte kostnader fra EVU</t>
  </si>
  <si>
    <t>Lønnsoverføring fra EVU</t>
  </si>
  <si>
    <t>Leiestedsinntekt (på eget institutt) fra EVU</t>
  </si>
  <si>
    <t>Egenfinansiering EVU</t>
  </si>
  <si>
    <t>Avslutning ikke-økonomisk aktivitet</t>
  </si>
  <si>
    <t>Netto overføringer fra EVU</t>
  </si>
  <si>
    <t>Indirekte kostnader personal</t>
  </si>
  <si>
    <t>Indirekte kostnader studiepoeng</t>
  </si>
  <si>
    <t>Sum kostn.</t>
  </si>
  <si>
    <t>Sum dir. timekostnad</t>
  </si>
  <si>
    <t>Sum Ompostert lønn - inkl. sos. Kostn</t>
  </si>
  <si>
    <t>Sum honorar (inkl. sos. Utg.) eksterne</t>
  </si>
  <si>
    <t>Reisekostnader</t>
  </si>
  <si>
    <t>B710</t>
  </si>
  <si>
    <t>Undervisning</t>
  </si>
  <si>
    <t>B501</t>
  </si>
  <si>
    <t>Lønn og sos. Kostnader (unntatt tilleggslønn)</t>
  </si>
  <si>
    <t>B502</t>
  </si>
  <si>
    <t>Tilleggslønn egne ansatte</t>
  </si>
  <si>
    <t>Kursnavn</t>
  </si>
  <si>
    <t>Hovedansvarlig:</t>
  </si>
  <si>
    <t>Oppsummering budsjett for kurs:</t>
  </si>
  <si>
    <t>Type:</t>
  </si>
  <si>
    <t>Økonomisk/ikke økonomisk aktivitet</t>
  </si>
  <si>
    <t>Egenbetaling pr. student</t>
  </si>
  <si>
    <t>Unntak i egenbetalingsforskriften</t>
  </si>
  <si>
    <t>NTNU-ansatt/
Ekstern</t>
  </si>
  <si>
    <t>Tilleggslønn (inkl. sos. Utg.) NTNU-ansatte</t>
  </si>
  <si>
    <t xml:space="preserve">Lønn EVU - Honorar eksterne </t>
  </si>
  <si>
    <t>Brutto overføringer fra EVU</t>
  </si>
  <si>
    <t>Settes til 0 hvis utenfor NTNU</t>
  </si>
  <si>
    <t>Sentral NTNU-finansiering eller lign.</t>
  </si>
  <si>
    <t>Unntak i egenbetalingsforkriften</t>
  </si>
  <si>
    <t>Leiestedskostnader (eget sted)</t>
  </si>
  <si>
    <t>Studentbetaling (periodiseres manuelt)</t>
  </si>
  <si>
    <t>Forslag periodisering av budsjett Maconomy</t>
  </si>
  <si>
    <t>Tilleggslønn - rammelønnede</t>
  </si>
  <si>
    <t>Lønn EVU - honorar eksterne</t>
  </si>
  <si>
    <t>Indirekte kostnader (pers. og student)</t>
  </si>
  <si>
    <t>Lønn og sos.kostnader - fra ramma</t>
  </si>
  <si>
    <t>Antall undervisningstimer</t>
  </si>
  <si>
    <t>Arealkostnad pr. år (kr./kvm)</t>
  </si>
  <si>
    <t>Arealkostnad pr. time (kr./kvm)</t>
  </si>
  <si>
    <t>(2018: 2.583 + 53 i økn i arealkost (ex. Avskr))</t>
  </si>
  <si>
    <t>Antall undervisningstimer pr. studiepoeng</t>
  </si>
  <si>
    <t>Indirekte kostnader pr. undervisn.time (etterutd.)</t>
  </si>
  <si>
    <t>Husleie pr. 60 SPE ihht. TDI-modellen</t>
  </si>
  <si>
    <t>Valgt å ikke bruke denne - i stedet husleie ihht. generell arealbruk</t>
  </si>
  <si>
    <t>Økonomisk/ikke-økonomisk aktivitet?</t>
  </si>
  <si>
    <t>Leiested - undervisningsrom NTNU</t>
  </si>
  <si>
    <t xml:space="preserve">Eget leiested </t>
  </si>
  <si>
    <t>Leie lokaler - eksternt (inkl. dagpakke)</t>
  </si>
  <si>
    <t>For hjelp med malen, eller rapportering av feil, send mail til:</t>
  </si>
  <si>
    <t>kontakt@okavd.ntnu.no</t>
  </si>
  <si>
    <t>Om innlegging av data</t>
  </si>
  <si>
    <t xml:space="preserve">For budsjettering av driftskostnader på prosjektet </t>
  </si>
  <si>
    <t xml:space="preserve">Kolonne B: Fritekstfelt for beskrivelse av kostnaden </t>
  </si>
  <si>
    <t xml:space="preserve">Kolonne C+: Her legger man inn faktisk kostnad pr år </t>
  </si>
  <si>
    <t>Versjonslogg</t>
  </si>
  <si>
    <t>Regnskapsseksjonen fører logg over alle endringer.</t>
  </si>
  <si>
    <t>Budsjettmal for EVU</t>
  </si>
  <si>
    <t>Det aller meste av inputen skal legges inn i fanen "1.Budsjettinput".</t>
  </si>
  <si>
    <t>"2. Oppsummering Budsjett" og "Samspill EVU-BFV" er såkalte outputfaner, som viser resultatet av hva man har lagt inn i fane 1. Det er likevel noen inputvalg også her.</t>
  </si>
  <si>
    <t>Gjennomgående logikk i arket er at lysegule celler er inputceller, mens hvite celler er låst for redigering pga formelbruk.</t>
  </si>
  <si>
    <t>Som det fremkommer er det en del info som må registreres, men av fast informasjon (rad 1 - 10) bør alle gule felter fylles ut.</t>
  </si>
  <si>
    <t>Arbeid uten særskilt honorering (område A12:N23)</t>
  </si>
  <si>
    <t>Arbeid som betales/honoreres særskilt via lønnssystemet (område A26:I36)</t>
  </si>
  <si>
    <t>Andre driftskostnader (område A39:H73)</t>
  </si>
  <si>
    <t>Kolonne A: Fritekstfelt for beskrivelse av ressursen (navn e.l.)</t>
  </si>
  <si>
    <t>Kolonne B: En nedtrekksliste bestemmer stillingskategori, denne må man bruke. Stillingsbetegnelsene gir forslag til lønnstrinn som oversettes til medarbeiderkategorier (Forsker 1 osv) av modellen. Medarbeiderkategorien er essensiell ved timeføring</t>
  </si>
  <si>
    <t xml:space="preserve">Kolonne D: Angivelse av lønnsintervall for kategorien (Forsker 1 osv) som angis i kolonne E. </t>
  </si>
  <si>
    <t>Alle celler som skal/kan fylles ut er markert med gult.</t>
  </si>
  <si>
    <t>I dette området skal man budsjettere arbeidsinnsats på prosjektet som ikke honoreres særskilt - dvs. den tid/arbeidsinnsats som benyttes innenfor ordinær arbeidsavtale</t>
  </si>
  <si>
    <t>Kolonne C: Her må velge om arbeidet skal belastes via timeføring eller om det er planlagt å ompostere lønn fra ramma</t>
  </si>
  <si>
    <t xml:space="preserve">Kolonne E: Dersom timeføring skal benyttes, foreslås det en en kategori (Forsker 1 osv) basert på valget i kolonne B. Det er mulig å overstyre dette dersom lønnsintervallet for kategorien (som angitt i kolonne D) ikke samsvarer med reell lønn for den ansatte. </t>
  </si>
  <si>
    <t>Kolonne F: Kun aktuell ved timeføring, og er en ren informasjon om hva direkte timekostnad er</t>
  </si>
  <si>
    <t>Kolonne G, I og K: Her legger man inn enten antall timer eller hvilket beløp som vil bli ompostert fra ramma og inn på prosjektet. Dersom det er ompostering skal beløp angis ex. Sosiale kostnader, disse blir beregnet i modellen. Det samme blir indirekte kostnader</t>
  </si>
  <si>
    <t xml:space="preserve">Kolonne H, J og L: Dette er resultatkolonner som viser hva budsjettert kostnad - inkludert sosiale kostnader og indirekte kostnader - vil være. </t>
  </si>
  <si>
    <r>
      <t xml:space="preserve">I dette området skal man budsjettere honorarer, enten til egne ansatte eller eksterne, som vil bli utbetalt via lønnssystemet. </t>
    </r>
    <r>
      <rPr>
        <b/>
        <sz val="11"/>
        <color theme="1"/>
        <rFont val="Calibri"/>
        <family val="2"/>
        <scheme val="minor"/>
      </rPr>
      <t>Honorarer til selvstendig næringsdrivende som sender faktura skal ikke budsjetteres her.</t>
    </r>
  </si>
  <si>
    <t>Kolonne B: Her angir man om det er honorar (tilleggslønn) til en NTNU-ansatt, eller om det er honorar til en ekstern.</t>
  </si>
  <si>
    <t xml:space="preserve">Kolonne C, E og G: Her legger man inn avtalt honorar. Sosiale kostnader og indirekte kostnader blir så beregnet i modellen. </t>
  </si>
  <si>
    <t xml:space="preserve">Kolonne D, F og H: Dette er resultatkolonner som viser hva budsjettert kostnad - inkludert sosiale kostnader og indirekte kostnader - vil være. </t>
  </si>
  <si>
    <t>Modellen benytter ingen faktor/oppjustering av undervisningstimer for å finne totalt timeantall inkludert forberedelser, sensur etc. Totalt timeantall må derfor registreres i budsjettet</t>
  </si>
  <si>
    <r>
      <t xml:space="preserve">Kolonne A: Nedtrekksliste for type driftskostnad. </t>
    </r>
    <r>
      <rPr>
        <b/>
        <sz val="11"/>
        <color theme="1"/>
        <rFont val="Calibri"/>
        <family val="2"/>
        <scheme val="minor"/>
      </rPr>
      <t>Denne må benyttes, fordi alle kostnader må kategoriseres inn i en gyldig kostnadstype</t>
    </r>
  </si>
  <si>
    <t>Merk II: Modellen beregner automatisk en intern husleie (celle H41). Dersom det også budsjetteres eksterne lokaler vil modellen stille spørsmål ved om det skal være både intern og ekstern husleie.</t>
  </si>
  <si>
    <t>2. Oppsummering budsjett</t>
  </si>
  <si>
    <t>3. Samspill EVU - BFV</t>
  </si>
  <si>
    <t>Arket oppsummerer budsjettet. Det aller meste følger av den input som har vært gjort på fane "1.Budsjettinput"</t>
  </si>
  <si>
    <t xml:space="preserve">Merk: Basert på antall studenter og vekttall/undervisningstimer beregnes det en totale indirekte kostnader studenter i modellen (i celle E14). Denne må manuelt periodiseres. </t>
  </si>
  <si>
    <t>Merk II: Studentbetalingen må periodiseres manuelt. Total studentbetaling beregnes automatisk basert på input i "1.Budsjettinput" (celle E22).</t>
  </si>
  <si>
    <t>I kolonne H - M gis det et forslag til hvordan budsjettet kan registreres, og periodiseres, i Maconomy.</t>
  </si>
  <si>
    <t>RD</t>
  </si>
  <si>
    <t>EVU-BFV Maconomy</t>
  </si>
  <si>
    <t>Arket gir en oppsummering av kursets effekt på enhetens Ramme Drift (samspillet mellom rammen "EVU-BFV Maconomy og RD")</t>
  </si>
  <si>
    <t>Alle tall vises i 1000kr</t>
  </si>
  <si>
    <t>21.1.2019: Versjon 1.0 publiseres på Innsida, og kan startes utprøvd.</t>
  </si>
  <si>
    <t>Denne malen skal brukes i budsjettering av et EVU tilbud. Hent alltid siste versjon av malen ved budsjettering av et nytt prosjekt.</t>
  </si>
  <si>
    <t>Malen bruker gjennomgående grupperte rader for å holde det oversiktlig. For å få tilgang til flere linjer kan man hente de frem ved å trykke på +tegnet på de respektive fanene</t>
  </si>
  <si>
    <t>1.Budsjettinfo</t>
  </si>
  <si>
    <t>Her registreres både viktig informasjon om kurstilbudet, og det meste av budsjettet.</t>
  </si>
  <si>
    <t>Informasjon om kurstilbudet (område A1:K9)</t>
  </si>
  <si>
    <r>
      <rPr>
        <b/>
        <sz val="16"/>
        <color rgb="FFFF0000"/>
        <rFont val="Calibri"/>
        <family val="2"/>
        <scheme val="minor"/>
      </rPr>
      <t>HUSK</t>
    </r>
    <r>
      <rPr>
        <sz val="16"/>
        <color theme="1"/>
        <rFont val="Calibri"/>
        <family val="2"/>
        <scheme val="minor"/>
      </rPr>
      <t xml:space="preserve"> å inkludere all tid; både forberedelser,
undervisning, sensur og annet i budsjettet - 
spesielt viktig ved timeføring/-budsjettering</t>
    </r>
  </si>
  <si>
    <t>Celle G6: Dersom modellen benyttes for et videreutdanningstilbud skal studenters egenbetaling beregnes i det simuleringsverktøy (Beregningsmodell EVU) som er utarbeidet for det formålet.</t>
  </si>
  <si>
    <t>21.1.2019: Versjon 1.01 publiseres. Var en feil (ingen tall) i fane 3. Samspill EVU - RD i versjon 1.0. Dessuten er det lagt inn en betinget formattering av tekst dersom Økonomisk aktivitet budsjetteres med regnskapsmessig underskudd</t>
  </si>
  <si>
    <t xml:space="preserve">Forventet resultat øk. Aktivitet 
(- er overskudd/+ er underskudd) </t>
  </si>
  <si>
    <t>Indirekte kostnader student</t>
  </si>
  <si>
    <t>Indir. Kostn. - personal</t>
  </si>
  <si>
    <t>Dersom tilbudet er Økonomisk aktivitet skal prosjektet avsluttes mot virksomhetskapitalen. Et over-/underskudd på slike tilbud inngår derfor ikke i samspillet, men presenteres særskilt på linje 20</t>
  </si>
  <si>
    <t>Merk: Basert på antall studenter og vekttall/undervisningstimer beregnes det en total intern husleie i modellen (i celle H41). Denne må manuelt periodiseres.
Enhetene har også selv ansvar for å bokføre denne</t>
  </si>
  <si>
    <t>B504</t>
  </si>
  <si>
    <t>04.03.19: Versjon 1.1 publiseres. Resultat på økonomisk aktivitet tas ut fra samspill EVU-RD, men vises særskilt på linje 20 i fane "3. Samspill EVU-RD". Budsjettforslag til Maconomy er litt mer detaljert</t>
  </si>
  <si>
    <t>NTNU-ansatt</t>
  </si>
  <si>
    <t>13.3.19: Versjon 1.2 publiseres. En feil i formlene på fane 1. Budsjettinput, i cellene S13 og T13.</t>
  </si>
  <si>
    <r>
      <t xml:space="preserve">06.08.19: Versjon 1.3 publiseres. Forrige versjon ga en feil dersom det ble budsjettert ompostering av lønn (i stedet for timeføring). Modellen </t>
    </r>
    <r>
      <rPr>
        <u/>
        <sz val="11"/>
        <color theme="1"/>
        <rFont val="Calibri"/>
        <family val="2"/>
        <scheme val="minor"/>
      </rPr>
      <t>vil fortsatt gi feil dersom</t>
    </r>
    <r>
      <rPr>
        <sz val="11"/>
        <color theme="1"/>
        <rFont val="Calibri"/>
        <family val="2"/>
        <scheme val="minor"/>
      </rPr>
      <t xml:space="preserve"> det opprettes en budsjettlinje med valget "timeføring" i kolonne B på fane "1.Budsjettinput" OG det ikke registreres antall budsjetterte timer</t>
    </r>
  </si>
  <si>
    <t>16.10.19: Versjon 1.4 publiseres. Forrige versjon ga feil dersom det kun var budsjettert ompostering (og ikke timeføring) for fast ansatte.</t>
  </si>
  <si>
    <t>Satser NFR (2024+ er anslag)</t>
  </si>
  <si>
    <t>17.12.19: Versjon 2.0 publiseres. Oppdatert med timepriser for 2020</t>
  </si>
  <si>
    <t>Om indirekte kostnader</t>
  </si>
  <si>
    <t xml:space="preserve">Indirekte kostnader er kostnader til sentrale fellestjenester (bibliotek, IT, fellesadministrasjon, drift) samt kontorplass, ledelse og administrasjon på fakultet og institutt. </t>
  </si>
  <si>
    <t>I etter- og videreutdanningsprosjekter skal totale kostnader beregnes, dvs. både direkte og indirekte kostnader. Det er to satser/påslag som benyttes:</t>
  </si>
  <si>
    <r>
      <rPr>
        <b/>
        <sz val="11"/>
        <color theme="1"/>
        <rFont val="Calibri"/>
        <family val="2"/>
        <scheme val="minor"/>
      </rPr>
      <t>Indirekte kostnader knyttet til vitenskapelig ansattes arbeidsinnsats (tidsbruk) i prosjektet:</t>
    </r>
    <r>
      <rPr>
        <sz val="11"/>
        <color theme="1"/>
        <rFont val="Calibri"/>
        <family val="2"/>
        <scheme val="minor"/>
      </rPr>
      <t xml:space="preserve"> Kontorplass, IT/telefon, adm. fellestjenester (HR og lønnstjeneste), </t>
    </r>
  </si>
  <si>
    <t>universitetsbiblioteket, administrasjon/studieadm. på fak./inst.</t>
  </si>
  <si>
    <r>
      <rPr>
        <b/>
        <sz val="11"/>
        <color theme="1"/>
        <rFont val="Calibri"/>
        <family val="2"/>
        <scheme val="minor"/>
      </rPr>
      <t>Indirekte kostnader knyttet til studenter:</t>
    </r>
    <r>
      <rPr>
        <sz val="11"/>
        <color theme="1"/>
        <rFont val="Calibri"/>
        <family val="2"/>
        <scheme val="minor"/>
      </rPr>
      <t xml:space="preserve"> De indirekte kostnadene omfatter fellestjenester som universitetsbibliotek, IT-avdelingen samt øvrig sentraladministrasjon (bl.a studieavd.).</t>
    </r>
  </si>
  <si>
    <t>Les mer om totalkostmodell for EVU på Universitets og høgskolerådets nettside:</t>
  </si>
  <si>
    <t>https://www.uhr.no/temasider/totalkostnadsmodell-tdi/</t>
  </si>
  <si>
    <t>Indirekte kostnader beregnes med grunnlag i vekttall for videreutdanning, og undervisningstimer for etterutdanning.</t>
  </si>
  <si>
    <t>Øk. aktivitet</t>
  </si>
  <si>
    <t>Ikke-øk. akt</t>
  </si>
  <si>
    <t xml:space="preserve">Arbeid uten særskilt honorering (Timeføring Maconomy/ompostering med art 9023) </t>
  </si>
  <si>
    <t>Timeføring/
ompostering</t>
  </si>
  <si>
    <t>Antall timer/
Beløp</t>
  </si>
  <si>
    <t xml:space="preserve"> For etterutdanning skal en andel av de indirekte kostnadene gå til Seksjon for etter- og videreutdanning</t>
  </si>
  <si>
    <t xml:space="preserve">  for administrasjon av deltakere/studenter. NTNU Videre sørger for intern handel for sin andel.</t>
  </si>
  <si>
    <t>Lønnstabell pr 1. oktober 2020 - YS/UNIO/LO</t>
  </si>
  <si>
    <t>&lt; 463'</t>
  </si>
  <si>
    <t>463'-528'</t>
  </si>
  <si>
    <t>528'-596'</t>
  </si>
  <si>
    <t>596'-675'</t>
  </si>
  <si>
    <t>675'-797'</t>
  </si>
  <si>
    <t>797'-1.058'</t>
  </si>
  <si>
    <t>&gt;1.058'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</si>
</sst>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 * #,##0_ ;_ * \-#,##0_ ;_ * &quot;-&quot;_ ;_ @_ "/>
    <numFmt numFmtId="165" formatCode="_ * #,##0.00_ ;_ * \-#,##0.00_ ;_ * &quot;-&quot;??_ ;_ @_ "/>
    <numFmt numFmtId="166" formatCode="_ * #,##0_ ;_ * \-#,##0_ ;_ * &quot;-&quot;??_ ;_ @_ "/>
    <numFmt numFmtId="167" formatCode="0_ ;\-0\ "/>
    <numFmt numFmtId="168" formatCode="#,##0.0_ ;\-#,##0.0\ "/>
    <numFmt numFmtId="169" formatCode="_ * #,##0.000_ ;_ * \-#,##0.000_ ;_ * &quot;-&quot;??_ ;_ @_ "/>
    <numFmt numFmtId="170" formatCode="0.000"/>
    <numFmt numFmtId="171" formatCode="_ &quot;kr&quot;\ * #,##0.00_ ;_ &quot;kr&quot;\ * \-#,##0.00_ ;_ &quot;kr&quot;\ * &quot;-&quot;??_ ;_ @_ "/>
  </numFmts>
  <fonts count="50" x14ac:knownFonts="1">
    <font>
      <sz val="11"/>
      <color theme="1"/>
      <name val="Calibri"/>
      <family val="2"/>
      <scheme val="minor"/>
    </font>
    <font>
      <sz val="11"/>
      <color theme="1"/>
      <name val="Calibri"/>
      <family val="2"/>
      <scheme val="minor"/>
    </font>
    <font>
      <b/>
      <sz val="11"/>
      <color theme="1"/>
      <name val="Calibri"/>
      <family val="2"/>
      <scheme val="minor"/>
    </font>
    <font>
      <b/>
      <sz val="10"/>
      <name val="Arial"/>
      <family val="2"/>
    </font>
    <font>
      <sz val="12"/>
      <name val="Times New Roman"/>
      <family val="1"/>
    </font>
    <font>
      <b/>
      <vertAlign val="superscript"/>
      <sz val="10"/>
      <name val="Arial"/>
      <family val="2"/>
    </font>
    <font>
      <sz val="8"/>
      <name val="Arial"/>
      <family val="2"/>
    </font>
    <font>
      <sz val="11"/>
      <color indexed="8"/>
      <name val="Calibri"/>
      <family val="2"/>
    </font>
    <font>
      <sz val="8"/>
      <color indexed="8"/>
      <name val="Arial"/>
      <family val="2"/>
    </font>
    <font>
      <sz val="9"/>
      <name val="Arial"/>
      <family val="2"/>
    </font>
    <font>
      <b/>
      <sz val="10"/>
      <color theme="1"/>
      <name val="Arial"/>
      <family val="2"/>
    </font>
    <font>
      <b/>
      <sz val="12"/>
      <color theme="1"/>
      <name val="Calibri"/>
      <family val="2"/>
      <scheme val="minor"/>
    </font>
    <font>
      <b/>
      <sz val="14"/>
      <color theme="1"/>
      <name val="Calibri"/>
      <family val="2"/>
      <scheme val="minor"/>
    </font>
    <font>
      <b/>
      <sz val="18"/>
      <color theme="1"/>
      <name val="Calibri"/>
      <family val="2"/>
      <scheme val="minor"/>
    </font>
    <font>
      <b/>
      <sz val="16"/>
      <name val="Times New Roman"/>
      <family val="1"/>
    </font>
    <font>
      <sz val="10"/>
      <name val="Arial"/>
      <family val="2"/>
    </font>
    <font>
      <sz val="16"/>
      <color theme="1"/>
      <name val="Calibri"/>
      <family val="2"/>
      <scheme val="minor"/>
    </font>
    <font>
      <sz val="18"/>
      <color theme="1"/>
      <name val="Calibri"/>
      <family val="2"/>
      <scheme val="minor"/>
    </font>
    <font>
      <sz val="9"/>
      <color indexed="81"/>
      <name val="Tahoma"/>
      <family val="2"/>
    </font>
    <font>
      <b/>
      <sz val="9"/>
      <color indexed="81"/>
      <name val="Tahoma"/>
      <family val="2"/>
    </font>
    <font>
      <b/>
      <sz val="16"/>
      <color theme="1"/>
      <name val="Calibri"/>
      <family val="2"/>
      <scheme val="minor"/>
    </font>
    <font>
      <b/>
      <sz val="10"/>
      <color theme="0" tint="-0.499984740745262"/>
      <name val="Arial"/>
      <family val="2"/>
    </font>
    <font>
      <sz val="11"/>
      <color theme="0" tint="-0.499984740745262"/>
      <name val="Calibri"/>
      <family val="2"/>
      <scheme val="minor"/>
    </font>
    <font>
      <b/>
      <sz val="11"/>
      <color theme="0" tint="-0.499984740745262"/>
      <name val="Calibri"/>
      <family val="2"/>
      <scheme val="minor"/>
    </font>
    <font>
      <i/>
      <sz val="10"/>
      <name val="Arial"/>
      <family val="2"/>
    </font>
    <font>
      <b/>
      <sz val="11"/>
      <color rgb="FFFF0000"/>
      <name val="Calibri"/>
      <family val="2"/>
      <scheme val="minor"/>
    </font>
    <font>
      <sz val="8"/>
      <color theme="0" tint="-0.34998626667073579"/>
      <name val="Arial"/>
      <family val="2"/>
    </font>
    <font>
      <sz val="9"/>
      <color theme="0" tint="-0.34998626667073579"/>
      <name val="Arial"/>
      <family val="2"/>
    </font>
    <font>
      <sz val="11"/>
      <color theme="0" tint="-0.34998626667073579"/>
      <name val="Calibri"/>
      <family val="2"/>
      <scheme val="minor"/>
    </font>
    <font>
      <sz val="10"/>
      <name val="Calibri"/>
      <family val="2"/>
    </font>
    <font>
      <sz val="10"/>
      <color theme="0" tint="-0.249977111117893"/>
      <name val="Calibri"/>
      <family val="2"/>
    </font>
    <font>
      <sz val="11"/>
      <color theme="0" tint="-0.14999847407452621"/>
      <name val="Calibri"/>
      <family val="2"/>
      <scheme val="minor"/>
    </font>
    <font>
      <b/>
      <sz val="11"/>
      <color theme="0" tint="-0.14999847407452621"/>
      <name val="Calibri"/>
      <family val="2"/>
      <scheme val="minor"/>
    </font>
    <font>
      <sz val="14"/>
      <color rgb="FFFF0000"/>
      <name val="Calibri"/>
      <family val="2"/>
      <scheme val="minor"/>
    </font>
    <font>
      <sz val="11"/>
      <color theme="0" tint="-4.9989318521683403E-2"/>
      <name val="Calibri"/>
      <family val="2"/>
      <scheme val="minor"/>
    </font>
    <font>
      <i/>
      <sz val="11"/>
      <color theme="1"/>
      <name val="Calibri"/>
      <family val="2"/>
      <scheme val="minor"/>
    </font>
    <font>
      <sz val="11"/>
      <color theme="0" tint="-0.249977111117893"/>
      <name val="Calibri"/>
      <family val="2"/>
      <scheme val="minor"/>
    </font>
    <font>
      <b/>
      <sz val="14"/>
      <color rgb="FFFF0000"/>
      <name val="Calibri"/>
      <family val="2"/>
      <scheme val="minor"/>
    </font>
    <font>
      <b/>
      <sz val="12"/>
      <color rgb="FFFF0000"/>
      <name val="Calibri"/>
      <family val="2"/>
      <scheme val="minor"/>
    </font>
    <font>
      <b/>
      <sz val="8"/>
      <color theme="1"/>
      <name val="Calibri"/>
      <family val="2"/>
      <scheme val="minor"/>
    </font>
    <font>
      <sz val="11"/>
      <color rgb="FFFF0000"/>
      <name val="Calibri"/>
      <family val="2"/>
      <scheme val="minor"/>
    </font>
    <font>
      <sz val="11"/>
      <color theme="0"/>
      <name val="Calibri"/>
      <family val="2"/>
      <scheme val="minor"/>
    </font>
    <font>
      <b/>
      <sz val="11"/>
      <name val="Calibri"/>
      <family val="2"/>
      <scheme val="minor"/>
    </font>
    <font>
      <u/>
      <sz val="11"/>
      <color theme="10"/>
      <name val="Calibri"/>
      <family val="2"/>
      <scheme val="minor"/>
    </font>
    <font>
      <sz val="12"/>
      <color theme="1"/>
      <name val="Calibri"/>
      <family val="2"/>
      <scheme val="minor"/>
    </font>
    <font>
      <b/>
      <sz val="16"/>
      <color rgb="FFFF0000"/>
      <name val="Calibri"/>
      <family val="2"/>
      <scheme val="minor"/>
    </font>
    <font>
      <u/>
      <sz val="11"/>
      <color theme="1"/>
      <name val="Calibri"/>
      <family val="2"/>
      <scheme val="minor"/>
    </font>
    <font>
      <sz val="11"/>
      <color indexed="81"/>
      <name val="Tahoma"/>
      <family val="2"/>
    </font>
    <font>
      <u/>
      <sz val="11"/>
      <color indexed="81"/>
      <name val="Tahoma"/>
      <family val="2"/>
    </font>
    <font>
      <sz val="11"/>
      <color rgb="FF0070C0"/>
      <name val="Calibri"/>
      <family val="2"/>
      <scheme val="minor"/>
    </font>
  </fonts>
  <fills count="14">
    <fill>
      <patternFill patternType="none"/>
    </fill>
    <fill>
      <patternFill patternType="gray125"/>
    </fill>
    <fill>
      <patternFill patternType="solid">
        <fgColor theme="0" tint="-4.9989318521683403E-2"/>
        <bgColor indexed="64"/>
      </patternFill>
    </fill>
    <fill>
      <patternFill patternType="solid">
        <fgColor indexed="26"/>
        <bgColor indexed="64"/>
      </patternFill>
    </fill>
    <fill>
      <patternFill patternType="solid">
        <fgColor theme="4" tint="0.79998168889431442"/>
        <bgColor theme="4" tint="0.79998168889431442"/>
      </patternFill>
    </fill>
    <fill>
      <patternFill patternType="solid">
        <fgColor rgb="FFFFFF00"/>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0"/>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rgb="FFFFFF99"/>
        <bgColor indexed="64"/>
      </patternFill>
    </fill>
    <fill>
      <patternFill patternType="solid">
        <fgColor rgb="FFFFC000"/>
        <bgColor indexed="64"/>
      </patternFill>
    </fill>
  </fills>
  <borders count="49">
    <border>
      <left/>
      <right/>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medium">
        <color indexed="64"/>
      </top>
      <bottom/>
      <diagonal/>
    </border>
    <border>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medium">
        <color indexed="64"/>
      </right>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hair">
        <color indexed="64"/>
      </left>
      <right style="hair">
        <color indexed="64"/>
      </right>
      <top/>
      <bottom style="hair">
        <color indexed="64"/>
      </bottom>
      <diagonal/>
    </border>
    <border>
      <left style="thin">
        <color indexed="64"/>
      </left>
      <right style="thin">
        <color indexed="64"/>
      </right>
      <top/>
      <bottom style="thin">
        <color indexed="64"/>
      </bottom>
      <diagonal/>
    </border>
    <border>
      <left/>
      <right/>
      <top style="thick">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s>
  <cellStyleXfs count="9">
    <xf numFmtId="0" fontId="0" fillId="0" borderId="0"/>
    <xf numFmtId="165" fontId="1" fillId="0" borderId="0" applyFont="0" applyFill="0" applyBorder="0" applyAlignment="0" applyProtection="0"/>
    <xf numFmtId="9" fontId="1" fillId="0" borderId="0" applyFont="0" applyFill="0" applyBorder="0" applyAlignment="0" applyProtection="0"/>
    <xf numFmtId="0" fontId="4" fillId="0" borderId="0"/>
    <xf numFmtId="0" fontId="7" fillId="0" borderId="0"/>
    <xf numFmtId="0" fontId="15" fillId="0" borderId="0"/>
    <xf numFmtId="0" fontId="1" fillId="0" borderId="0"/>
    <xf numFmtId="0" fontId="43" fillId="0" borderId="0" applyNumberFormat="0" applyFill="0" applyBorder="0" applyAlignment="0" applyProtection="0"/>
    <xf numFmtId="171" fontId="1" fillId="0" borderId="0" applyFont="0" applyFill="0" applyBorder="0" applyAlignment="0" applyProtection="0"/>
  </cellStyleXfs>
  <cellXfs count="362">
    <xf numFmtId="0" fontId="0" fillId="0" borderId="0" xfId="0"/>
    <xf numFmtId="0" fontId="0" fillId="0" borderId="0" xfId="0" applyBorder="1"/>
    <xf numFmtId="3" fontId="9" fillId="2" borderId="0" xfId="0" applyNumberFormat="1" applyFont="1" applyFill="1" applyBorder="1"/>
    <xf numFmtId="38" fontId="8" fillId="3" borderId="3" xfId="4" applyNumberFormat="1" applyFont="1" applyFill="1" applyBorder="1" applyProtection="1"/>
    <xf numFmtId="3" fontId="9" fillId="0" borderId="0" xfId="0" applyNumberFormat="1" applyFont="1" applyBorder="1"/>
    <xf numFmtId="4" fontId="9" fillId="0" borderId="4" xfId="0" applyNumberFormat="1" applyFont="1" applyBorder="1"/>
    <xf numFmtId="4" fontId="0" fillId="0" borderId="0" xfId="0" applyNumberFormat="1" applyBorder="1"/>
    <xf numFmtId="0" fontId="10" fillId="4" borderId="9" xfId="0" applyFont="1" applyFill="1" applyBorder="1" applyAlignment="1">
      <alignment horizontal="center"/>
    </xf>
    <xf numFmtId="0" fontId="10" fillId="4" borderId="1" xfId="0" applyFont="1" applyFill="1" applyBorder="1" applyAlignment="1">
      <alignment horizontal="right"/>
    </xf>
    <xf numFmtId="0" fontId="10" fillId="4" borderId="11" xfId="0" applyFont="1" applyFill="1" applyBorder="1" applyAlignment="1">
      <alignment horizontal="left"/>
    </xf>
    <xf numFmtId="0" fontId="10" fillId="4" borderId="12" xfId="0" applyFont="1" applyFill="1" applyBorder="1" applyAlignment="1">
      <alignment horizontal="left"/>
    </xf>
    <xf numFmtId="3" fontId="0" fillId="0" borderId="0" xfId="0" applyNumberFormat="1" applyBorder="1" applyAlignment="1">
      <alignment horizontal="center"/>
    </xf>
    <xf numFmtId="0" fontId="10" fillId="4" borderId="14" xfId="0" applyFont="1" applyFill="1" applyBorder="1" applyAlignment="1">
      <alignment horizontal="left"/>
    </xf>
    <xf numFmtId="3" fontId="0" fillId="0" borderId="15" xfId="0" applyNumberFormat="1" applyBorder="1" applyAlignment="1">
      <alignment horizontal="center"/>
    </xf>
    <xf numFmtId="9" fontId="0" fillId="0" borderId="0" xfId="2" applyFont="1" applyBorder="1"/>
    <xf numFmtId="166" fontId="0" fillId="0" borderId="0" xfId="0" applyNumberFormat="1" applyBorder="1"/>
    <xf numFmtId="166" fontId="2" fillId="0" borderId="2" xfId="0" applyNumberFormat="1" applyFont="1" applyFill="1" applyBorder="1" applyAlignment="1" applyProtection="1">
      <alignment wrapText="1"/>
      <protection locked="0"/>
    </xf>
    <xf numFmtId="166" fontId="0" fillId="7" borderId="2" xfId="0" applyNumberFormat="1" applyFill="1" applyBorder="1" applyProtection="1">
      <protection locked="0"/>
    </xf>
    <xf numFmtId="9" fontId="9" fillId="2" borderId="0" xfId="2" applyFont="1" applyFill="1" applyBorder="1"/>
    <xf numFmtId="0" fontId="2" fillId="0" borderId="12" xfId="0" applyFont="1" applyBorder="1"/>
    <xf numFmtId="167" fontId="2" fillId="0" borderId="0" xfId="0" applyNumberFormat="1" applyFont="1" applyBorder="1"/>
    <xf numFmtId="0" fontId="2" fillId="0" borderId="14" xfId="0" applyFont="1" applyBorder="1"/>
    <xf numFmtId="0" fontId="2" fillId="0" borderId="13" xfId="0" applyFont="1" applyBorder="1" applyAlignment="1">
      <alignment horizontal="right"/>
    </xf>
    <xf numFmtId="164" fontId="0" fillId="0" borderId="0" xfId="0" applyNumberFormat="1" applyBorder="1"/>
    <xf numFmtId="164" fontId="2" fillId="0" borderId="15" xfId="0" applyNumberFormat="1" applyFont="1" applyBorder="1"/>
    <xf numFmtId="164" fontId="2" fillId="0" borderId="13" xfId="0" applyNumberFormat="1" applyFont="1" applyBorder="1"/>
    <xf numFmtId="164" fontId="2" fillId="0" borderId="16" xfId="0" applyNumberFormat="1" applyFont="1" applyBorder="1"/>
    <xf numFmtId="166" fontId="2" fillId="0" borderId="13" xfId="0" applyNumberFormat="1" applyFont="1" applyFill="1" applyBorder="1" applyAlignment="1" applyProtection="1">
      <alignment wrapText="1"/>
      <protection locked="0"/>
    </xf>
    <xf numFmtId="0" fontId="0" fillId="0" borderId="12" xfId="0" applyBorder="1"/>
    <xf numFmtId="164" fontId="2" fillId="0" borderId="0" xfId="0" applyNumberFormat="1" applyFont="1" applyBorder="1"/>
    <xf numFmtId="0" fontId="2" fillId="0" borderId="0" xfId="0" applyFont="1" applyBorder="1" applyAlignment="1">
      <alignment horizontal="center"/>
    </xf>
    <xf numFmtId="0" fontId="0" fillId="0" borderId="12" xfId="0" applyBorder="1" applyAlignment="1">
      <alignment horizontal="center"/>
    </xf>
    <xf numFmtId="0" fontId="2" fillId="0" borderId="13" xfId="0" applyFont="1" applyBorder="1" applyAlignment="1">
      <alignment horizontal="center"/>
    </xf>
    <xf numFmtId="0" fontId="2" fillId="6" borderId="12" xfId="0" applyFont="1" applyFill="1" applyBorder="1"/>
    <xf numFmtId="0" fontId="0" fillId="9" borderId="0" xfId="0" applyFill="1"/>
    <xf numFmtId="0" fontId="13" fillId="9" borderId="0" xfId="0" applyFont="1" applyFill="1"/>
    <xf numFmtId="0" fontId="0" fillId="0" borderId="13" xfId="0" applyBorder="1"/>
    <xf numFmtId="0" fontId="0" fillId="0" borderId="14" xfId="0" applyBorder="1"/>
    <xf numFmtId="0" fontId="0" fillId="0" borderId="15" xfId="0" applyBorder="1"/>
    <xf numFmtId="0" fontId="0" fillId="0" borderId="11" xfId="0" applyBorder="1"/>
    <xf numFmtId="0" fontId="0" fillId="0" borderId="9" xfId="0" applyBorder="1"/>
    <xf numFmtId="0" fontId="0" fillId="0" borderId="1" xfId="0" applyBorder="1"/>
    <xf numFmtId="3" fontId="0" fillId="0" borderId="0" xfId="0" applyNumberFormat="1" applyBorder="1"/>
    <xf numFmtId="3" fontId="0" fillId="0" borderId="15" xfId="0" applyNumberFormat="1" applyBorder="1"/>
    <xf numFmtId="166" fontId="0" fillId="0" borderId="15" xfId="0" applyNumberFormat="1" applyBorder="1"/>
    <xf numFmtId="0" fontId="10" fillId="4" borderId="11" xfId="0" applyFont="1" applyFill="1" applyBorder="1" applyAlignment="1">
      <alignment horizontal="center"/>
    </xf>
    <xf numFmtId="0" fontId="0" fillId="0" borderId="11" xfId="0" applyBorder="1" applyAlignment="1">
      <alignment wrapText="1"/>
    </xf>
    <xf numFmtId="0" fontId="2" fillId="0" borderId="9" xfId="0" applyFont="1" applyBorder="1" applyAlignment="1">
      <alignment wrapText="1"/>
    </xf>
    <xf numFmtId="0" fontId="2" fillId="0" borderId="1" xfId="0" applyFont="1" applyBorder="1" applyAlignment="1">
      <alignment wrapText="1"/>
    </xf>
    <xf numFmtId="0" fontId="2" fillId="0" borderId="12" xfId="0" applyFont="1" applyFill="1" applyBorder="1"/>
    <xf numFmtId="166" fontId="2" fillId="0" borderId="0" xfId="0" applyNumberFormat="1" applyFont="1" applyBorder="1"/>
    <xf numFmtId="166" fontId="2" fillId="0" borderId="13" xfId="0" applyNumberFormat="1" applyFont="1" applyBorder="1"/>
    <xf numFmtId="166" fontId="0" fillId="0" borderId="16" xfId="0" applyNumberFormat="1" applyBorder="1"/>
    <xf numFmtId="0" fontId="3" fillId="0" borderId="9" xfId="0" applyFont="1" applyBorder="1" applyAlignment="1"/>
    <xf numFmtId="1" fontId="2" fillId="0" borderId="9" xfId="0" applyNumberFormat="1" applyFont="1" applyBorder="1"/>
    <xf numFmtId="0" fontId="3" fillId="0" borderId="12" xfId="0" applyFont="1" applyBorder="1" applyAlignment="1">
      <alignment horizontal="center" wrapText="1"/>
    </xf>
    <xf numFmtId="0" fontId="0" fillId="0" borderId="0" xfId="0" applyBorder="1" applyAlignment="1">
      <alignment wrapText="1"/>
    </xf>
    <xf numFmtId="0" fontId="6" fillId="0" borderId="12" xfId="0" applyFont="1" applyBorder="1" applyAlignment="1">
      <alignment horizontal="center"/>
    </xf>
    <xf numFmtId="4" fontId="0" fillId="0" borderId="22" xfId="0" applyNumberFormat="1" applyBorder="1" applyAlignment="1">
      <alignment horizontal="center"/>
    </xf>
    <xf numFmtId="0" fontId="6" fillId="0" borderId="23" xfId="0" applyFont="1" applyBorder="1" applyAlignment="1">
      <alignment horizontal="center"/>
    </xf>
    <xf numFmtId="0" fontId="6" fillId="0" borderId="23" xfId="0" applyFont="1" applyFill="1" applyBorder="1" applyAlignment="1">
      <alignment horizontal="center"/>
    </xf>
    <xf numFmtId="0" fontId="6" fillId="0" borderId="24" xfId="0" applyFont="1" applyFill="1" applyBorder="1" applyAlignment="1">
      <alignment horizontal="center"/>
    </xf>
    <xf numFmtId="0" fontId="2" fillId="0" borderId="25" xfId="0" applyFont="1" applyBorder="1"/>
    <xf numFmtId="0" fontId="2" fillId="0" borderId="10" xfId="0" applyFont="1" applyBorder="1"/>
    <xf numFmtId="0" fontId="2" fillId="0" borderId="26" xfId="0" applyFont="1" applyBorder="1"/>
    <xf numFmtId="1" fontId="0" fillId="0" borderId="12" xfId="0" applyNumberFormat="1" applyBorder="1"/>
    <xf numFmtId="0" fontId="0" fillId="0" borderId="28" xfId="0" applyFont="1" applyFill="1" applyBorder="1" applyAlignment="1">
      <alignment wrapText="1"/>
    </xf>
    <xf numFmtId="0" fontId="0" fillId="0" borderId="29" xfId="0" applyBorder="1"/>
    <xf numFmtId="0" fontId="0" fillId="0" borderId="28" xfId="0" applyBorder="1"/>
    <xf numFmtId="0" fontId="0" fillId="10" borderId="27" xfId="0" applyFill="1" applyBorder="1"/>
    <xf numFmtId="1" fontId="0" fillId="0" borderId="14" xfId="0" applyNumberFormat="1" applyBorder="1"/>
    <xf numFmtId="0" fontId="2" fillId="0" borderId="0" xfId="0" applyFont="1" applyFill="1" applyBorder="1" applyAlignment="1">
      <alignment wrapText="1"/>
    </xf>
    <xf numFmtId="0" fontId="2" fillId="0" borderId="13" xfId="0" applyFont="1" applyFill="1" applyBorder="1" applyAlignment="1">
      <alignment wrapText="1"/>
    </xf>
    <xf numFmtId="166" fontId="0" fillId="0" borderId="0" xfId="0" applyNumberFormat="1" applyFill="1" applyBorder="1"/>
    <xf numFmtId="0" fontId="17" fillId="10" borderId="0" xfId="0" applyFont="1" applyFill="1"/>
    <xf numFmtId="0" fontId="0" fillId="10" borderId="0" xfId="0" applyFill="1"/>
    <xf numFmtId="0" fontId="16" fillId="10" borderId="0" xfId="0" applyFont="1" applyFill="1"/>
    <xf numFmtId="14" fontId="16" fillId="10" borderId="0" xfId="0" applyNumberFormat="1" applyFont="1" applyFill="1"/>
    <xf numFmtId="169" fontId="0" fillId="0" borderId="0" xfId="0" applyNumberFormat="1" applyBorder="1"/>
    <xf numFmtId="169" fontId="0" fillId="0" borderId="15" xfId="0" applyNumberFormat="1" applyBorder="1"/>
    <xf numFmtId="0" fontId="0" fillId="0" borderId="0" xfId="0" applyFill="1" applyBorder="1"/>
    <xf numFmtId="3" fontId="0" fillId="0" borderId="0" xfId="0" applyNumberFormat="1" applyFill="1" applyBorder="1"/>
    <xf numFmtId="0" fontId="0" fillId="0" borderId="28" xfId="0" applyFill="1" applyBorder="1"/>
    <xf numFmtId="0" fontId="2" fillId="0" borderId="14" xfId="0" applyFont="1" applyFill="1" applyBorder="1"/>
    <xf numFmtId="0" fontId="2" fillId="10" borderId="27" xfId="0" applyFont="1" applyFill="1" applyBorder="1"/>
    <xf numFmtId="0" fontId="20" fillId="0" borderId="0" xfId="5" applyFont="1"/>
    <xf numFmtId="166" fontId="2" fillId="0" borderId="0" xfId="1" applyNumberFormat="1" applyFont="1" applyFill="1" applyBorder="1"/>
    <xf numFmtId="166" fontId="2" fillId="0" borderId="30" xfId="1" applyNumberFormat="1" applyFont="1" applyFill="1" applyBorder="1"/>
    <xf numFmtId="0" fontId="15" fillId="0" borderId="5" xfId="5" applyBorder="1"/>
    <xf numFmtId="166" fontId="2" fillId="0" borderId="5" xfId="1" applyNumberFormat="1" applyFont="1" applyFill="1" applyBorder="1"/>
    <xf numFmtId="0" fontId="15" fillId="0" borderId="30" xfId="5" applyFont="1" applyBorder="1"/>
    <xf numFmtId="166" fontId="1" fillId="0" borderId="0" xfId="1" applyNumberFormat="1" applyFont="1" applyFill="1" applyBorder="1"/>
    <xf numFmtId="166" fontId="2" fillId="0" borderId="30" xfId="0" applyNumberFormat="1" applyFont="1" applyBorder="1"/>
    <xf numFmtId="0" fontId="3" fillId="11" borderId="30" xfId="5" applyFont="1" applyFill="1" applyBorder="1"/>
    <xf numFmtId="166" fontId="3" fillId="11" borderId="0" xfId="1" applyNumberFormat="1" applyFont="1" applyFill="1" applyBorder="1"/>
    <xf numFmtId="166" fontId="3" fillId="11" borderId="30" xfId="1" applyNumberFormat="1" applyFont="1" applyFill="1" applyBorder="1"/>
    <xf numFmtId="0" fontId="11" fillId="0" borderId="0" xfId="0" applyFont="1" applyFill="1" applyBorder="1" applyProtection="1"/>
    <xf numFmtId="0" fontId="15" fillId="0" borderId="31" xfId="5" applyBorder="1"/>
    <xf numFmtId="0" fontId="15" fillId="0" borderId="31" xfId="5" applyFont="1" applyBorder="1"/>
    <xf numFmtId="0" fontId="3" fillId="0" borderId="30" xfId="5" applyFont="1" applyBorder="1"/>
    <xf numFmtId="0" fontId="21" fillId="0" borderId="30" xfId="5" applyFont="1" applyBorder="1"/>
    <xf numFmtId="166" fontId="22" fillId="0" borderId="0" xfId="1" applyNumberFormat="1" applyFont="1" applyFill="1" applyBorder="1"/>
    <xf numFmtId="166" fontId="23" fillId="0" borderId="30" xfId="1" applyNumberFormat="1" applyFont="1" applyFill="1" applyBorder="1"/>
    <xf numFmtId="0" fontId="2" fillId="0" borderId="0" xfId="0" applyFont="1" applyBorder="1"/>
    <xf numFmtId="167" fontId="2" fillId="0" borderId="6" xfId="1" applyNumberFormat="1" applyFont="1" applyFill="1" applyBorder="1" applyAlignment="1">
      <alignment horizontal="right"/>
    </xf>
    <xf numFmtId="0" fontId="0" fillId="0" borderId="1" xfId="0" applyFill="1" applyBorder="1"/>
    <xf numFmtId="9" fontId="0" fillId="0" borderId="13" xfId="2" applyFont="1" applyFill="1" applyBorder="1" applyAlignment="1">
      <alignment horizontal="center"/>
    </xf>
    <xf numFmtId="0" fontId="0" fillId="0" borderId="0" xfId="0" applyBorder="1" applyAlignment="1">
      <alignment horizontal="right"/>
    </xf>
    <xf numFmtId="0" fontId="0" fillId="0" borderId="15" xfId="0" applyBorder="1" applyAlignment="1">
      <alignment horizontal="right"/>
    </xf>
    <xf numFmtId="0" fontId="12" fillId="0" borderId="0" xfId="0" applyFont="1"/>
    <xf numFmtId="0" fontId="0" fillId="0" borderId="0" xfId="0" applyFill="1"/>
    <xf numFmtId="167" fontId="2" fillId="0" borderId="2" xfId="0" applyNumberFormat="1" applyFont="1" applyFill="1" applyBorder="1" applyAlignment="1" applyProtection="1">
      <alignment wrapText="1"/>
    </xf>
    <xf numFmtId="167" fontId="2" fillId="0" borderId="0" xfId="0" applyNumberFormat="1" applyFont="1" applyFill="1" applyBorder="1" applyAlignment="1" applyProtection="1">
      <alignment wrapText="1"/>
    </xf>
    <xf numFmtId="0" fontId="0" fillId="0" borderId="12" xfId="0" applyBorder="1" applyAlignment="1">
      <alignment horizontal="left"/>
    </xf>
    <xf numFmtId="0" fontId="10" fillId="4" borderId="25" xfId="0" applyFont="1" applyFill="1" applyBorder="1" applyAlignment="1"/>
    <xf numFmtId="9" fontId="0" fillId="0" borderId="13" xfId="2" applyFont="1" applyBorder="1"/>
    <xf numFmtId="9" fontId="0" fillId="0" borderId="15" xfId="2" applyFont="1" applyBorder="1"/>
    <xf numFmtId="9" fontId="0" fillId="0" borderId="16" xfId="2" applyFont="1" applyBorder="1"/>
    <xf numFmtId="166" fontId="0" fillId="0" borderId="0" xfId="0" applyNumberFormat="1"/>
    <xf numFmtId="0" fontId="3" fillId="6" borderId="32" xfId="0" applyFont="1" applyFill="1" applyBorder="1" applyAlignment="1">
      <alignment horizontal="center" wrapText="1"/>
    </xf>
    <xf numFmtId="0" fontId="10" fillId="4" borderId="25" xfId="0" applyFont="1" applyFill="1" applyBorder="1" applyAlignment="1">
      <alignment horizontal="center"/>
    </xf>
    <xf numFmtId="0" fontId="10" fillId="4" borderId="10" xfId="0" applyFont="1" applyFill="1" applyBorder="1" applyAlignment="1">
      <alignment horizontal="center" wrapText="1"/>
    </xf>
    <xf numFmtId="0" fontId="10" fillId="4" borderId="26" xfId="0" applyFont="1" applyFill="1" applyBorder="1" applyAlignment="1">
      <alignment horizontal="center" wrapText="1"/>
    </xf>
    <xf numFmtId="3" fontId="2" fillId="0" borderId="0" xfId="0" applyNumberFormat="1" applyFont="1" applyBorder="1"/>
    <xf numFmtId="3" fontId="0" fillId="0" borderId="0" xfId="2" applyNumberFormat="1" applyFont="1" applyBorder="1"/>
    <xf numFmtId="0" fontId="2" fillId="0" borderId="13" xfId="0" applyFont="1" applyFill="1" applyBorder="1"/>
    <xf numFmtId="166" fontId="25" fillId="0" borderId="13" xfId="1" applyNumberFormat="1" applyFont="1" applyBorder="1"/>
    <xf numFmtId="0" fontId="26" fillId="2" borderId="12" xfId="0" applyFont="1" applyFill="1" applyBorder="1" applyAlignment="1">
      <alignment horizontal="center"/>
    </xf>
    <xf numFmtId="38" fontId="26" fillId="2" borderId="33" xfId="4" applyNumberFormat="1" applyFont="1" applyFill="1" applyBorder="1" applyProtection="1"/>
    <xf numFmtId="3" fontId="27" fillId="2" borderId="0" xfId="0" applyNumberFormat="1" applyFont="1" applyFill="1" applyBorder="1"/>
    <xf numFmtId="9" fontId="27" fillId="2" borderId="0" xfId="2" applyFont="1" applyFill="1" applyBorder="1"/>
    <xf numFmtId="4" fontId="27" fillId="2" borderId="4" xfId="0" applyNumberFormat="1" applyFont="1" applyFill="1" applyBorder="1"/>
    <xf numFmtId="4" fontId="28" fillId="2" borderId="0" xfId="0" applyNumberFormat="1" applyFont="1" applyFill="1" applyBorder="1"/>
    <xf numFmtId="4" fontId="28" fillId="2" borderId="22" xfId="0" applyNumberFormat="1" applyFont="1" applyFill="1" applyBorder="1" applyAlignment="1">
      <alignment horizontal="center"/>
    </xf>
    <xf numFmtId="38" fontId="26" fillId="2" borderId="3" xfId="4" applyNumberFormat="1" applyFont="1" applyFill="1" applyBorder="1" applyProtection="1"/>
    <xf numFmtId="4" fontId="29" fillId="0" borderId="4" xfId="0" applyNumberFormat="1" applyFont="1" applyFill="1" applyBorder="1" applyAlignment="1" applyProtection="1">
      <alignment horizontal="right"/>
      <protection locked="0"/>
    </xf>
    <xf numFmtId="4" fontId="29" fillId="0" borderId="0" xfId="0" applyNumberFormat="1" applyFont="1" applyFill="1" applyBorder="1" applyAlignment="1" applyProtection="1">
      <alignment horizontal="right"/>
      <protection locked="0"/>
    </xf>
    <xf numFmtId="165" fontId="30" fillId="0" borderId="4" xfId="1" applyFont="1" applyFill="1" applyBorder="1" applyAlignment="1" applyProtection="1">
      <alignment horizontal="right"/>
      <protection locked="0"/>
    </xf>
    <xf numFmtId="4" fontId="29" fillId="0" borderId="34" xfId="0" applyNumberFormat="1" applyFont="1" applyFill="1" applyBorder="1" applyAlignment="1" applyProtection="1">
      <alignment horizontal="right"/>
      <protection locked="0"/>
    </xf>
    <xf numFmtId="4" fontId="29" fillId="0" borderId="8" xfId="0" applyNumberFormat="1" applyFont="1" applyFill="1" applyBorder="1" applyAlignment="1" applyProtection="1">
      <alignment horizontal="right"/>
      <protection locked="0"/>
    </xf>
    <xf numFmtId="165" fontId="30" fillId="0" borderId="34" xfId="1" applyFont="1" applyFill="1" applyBorder="1" applyAlignment="1" applyProtection="1">
      <alignment horizontal="right"/>
      <protection locked="0"/>
    </xf>
    <xf numFmtId="9" fontId="0" fillId="0" borderId="29" xfId="2" applyFont="1" applyFill="1" applyBorder="1" applyAlignment="1">
      <alignment horizontal="center"/>
    </xf>
    <xf numFmtId="3" fontId="0" fillId="0" borderId="13" xfId="0" applyNumberFormat="1" applyBorder="1"/>
    <xf numFmtId="0" fontId="31" fillId="0" borderId="12" xfId="0" applyFont="1" applyBorder="1"/>
    <xf numFmtId="166" fontId="31" fillId="0" borderId="0" xfId="1" applyNumberFormat="1" applyFont="1" applyBorder="1"/>
    <xf numFmtId="9" fontId="31" fillId="0" borderId="0" xfId="2" applyFont="1" applyBorder="1"/>
    <xf numFmtId="166" fontId="31" fillId="0" borderId="0" xfId="0" applyNumberFormat="1" applyFont="1" applyBorder="1"/>
    <xf numFmtId="166" fontId="31" fillId="0" borderId="13" xfId="0" applyNumberFormat="1" applyFont="1" applyBorder="1"/>
    <xf numFmtId="0" fontId="32" fillId="0" borderId="20" xfId="0" applyFont="1" applyBorder="1"/>
    <xf numFmtId="166" fontId="32" fillId="0" borderId="8" xfId="0" applyNumberFormat="1" applyFont="1" applyBorder="1"/>
    <xf numFmtId="9" fontId="32" fillId="0" borderId="8" xfId="2" applyFont="1" applyBorder="1"/>
    <xf numFmtId="166" fontId="32" fillId="5" borderId="8" xfId="0" applyNumberFormat="1" applyFont="1" applyFill="1" applyBorder="1"/>
    <xf numFmtId="166" fontId="32" fillId="5" borderId="21" xfId="0" applyNumberFormat="1" applyFont="1" applyFill="1" applyBorder="1"/>
    <xf numFmtId="3" fontId="0" fillId="0" borderId="16" xfId="0" applyNumberFormat="1" applyBorder="1"/>
    <xf numFmtId="0" fontId="25" fillId="0" borderId="12" xfId="0" applyFont="1" applyBorder="1"/>
    <xf numFmtId="0" fontId="2" fillId="0" borderId="12" xfId="0" applyFont="1" applyFill="1" applyBorder="1" applyProtection="1"/>
    <xf numFmtId="0" fontId="2" fillId="0" borderId="12" xfId="0" applyFont="1" applyBorder="1" applyProtection="1"/>
    <xf numFmtId="0" fontId="33" fillId="0" borderId="0" xfId="0" applyFont="1"/>
    <xf numFmtId="3" fontId="0" fillId="0" borderId="0" xfId="0" applyNumberFormat="1" applyBorder="1" applyAlignment="1">
      <alignment horizontal="right"/>
    </xf>
    <xf numFmtId="166" fontId="2" fillId="0" borderId="30" xfId="0" applyNumberFormat="1" applyFont="1" applyFill="1" applyBorder="1" applyAlignment="1" applyProtection="1">
      <alignment wrapText="1"/>
      <protection locked="0"/>
    </xf>
    <xf numFmtId="168" fontId="34" fillId="0" borderId="0" xfId="0" applyNumberFormat="1" applyFont="1"/>
    <xf numFmtId="164" fontId="0" fillId="0" borderId="13" xfId="0" applyNumberFormat="1" applyBorder="1"/>
    <xf numFmtId="0" fontId="35" fillId="0" borderId="0" xfId="0" applyFont="1"/>
    <xf numFmtId="0" fontId="0" fillId="0" borderId="0" xfId="0" applyFill="1" applyBorder="1" applyProtection="1"/>
    <xf numFmtId="0" fontId="34" fillId="0" borderId="0" xfId="0" applyFont="1"/>
    <xf numFmtId="0" fontId="0" fillId="0" borderId="12" xfId="0" applyFill="1" applyBorder="1" applyProtection="1"/>
    <xf numFmtId="164" fontId="0" fillId="0" borderId="0" xfId="0" applyNumberFormat="1" applyFill="1" applyBorder="1" applyProtection="1">
      <protection locked="0"/>
    </xf>
    <xf numFmtId="166" fontId="36" fillId="0" borderId="0" xfId="0" applyNumberFormat="1" applyFont="1"/>
    <xf numFmtId="3" fontId="0" fillId="0" borderId="15" xfId="0" applyNumberFormat="1" applyBorder="1" applyAlignment="1">
      <alignment horizontal="left"/>
    </xf>
    <xf numFmtId="169" fontId="0" fillId="0" borderId="13" xfId="1" applyNumberFormat="1" applyFont="1" applyFill="1" applyBorder="1"/>
    <xf numFmtId="170" fontId="0" fillId="6" borderId="13" xfId="0" applyNumberFormat="1" applyFill="1" applyBorder="1"/>
    <xf numFmtId="170" fontId="0" fillId="6" borderId="16" xfId="0" applyNumberFormat="1" applyFill="1" applyBorder="1"/>
    <xf numFmtId="169" fontId="0" fillId="0" borderId="13" xfId="0" applyNumberFormat="1" applyFill="1" applyBorder="1"/>
    <xf numFmtId="169" fontId="0" fillId="6" borderId="13" xfId="0" applyNumberFormat="1" applyFill="1" applyBorder="1"/>
    <xf numFmtId="169" fontId="0" fillId="6" borderId="16" xfId="0" applyNumberFormat="1" applyFill="1" applyBorder="1"/>
    <xf numFmtId="169" fontId="0" fillId="0" borderId="0" xfId="1" applyNumberFormat="1" applyFont="1" applyFill="1" applyBorder="1"/>
    <xf numFmtId="0" fontId="12" fillId="0" borderId="0" xfId="0" applyFont="1" applyBorder="1" applyAlignment="1"/>
    <xf numFmtId="0" fontId="0" fillId="0" borderId="0" xfId="0"/>
    <xf numFmtId="165" fontId="30" fillId="0" borderId="30" xfId="1" applyFont="1" applyFill="1" applyBorder="1" applyAlignment="1" applyProtection="1">
      <alignment horizontal="right"/>
      <protection locked="0"/>
    </xf>
    <xf numFmtId="166" fontId="2" fillId="7" borderId="18" xfId="0" applyNumberFormat="1" applyFont="1" applyFill="1" applyBorder="1" applyAlignment="1" applyProtection="1">
      <protection locked="0"/>
    </xf>
    <xf numFmtId="166" fontId="2" fillId="7" borderId="19" xfId="0" applyNumberFormat="1" applyFont="1" applyFill="1" applyBorder="1" applyAlignment="1" applyProtection="1">
      <protection locked="0"/>
    </xf>
    <xf numFmtId="166" fontId="0" fillId="0" borderId="0" xfId="0" applyNumberFormat="1" applyFill="1" applyBorder="1" applyProtection="1">
      <protection locked="0"/>
    </xf>
    <xf numFmtId="166" fontId="0" fillId="0" borderId="0" xfId="0" applyNumberFormat="1" applyFill="1" applyBorder="1" applyProtection="1"/>
    <xf numFmtId="168" fontId="0" fillId="0" borderId="0" xfId="0" applyNumberFormat="1" applyFill="1" applyBorder="1" applyProtection="1">
      <protection locked="0"/>
    </xf>
    <xf numFmtId="164" fontId="0" fillId="0" borderId="0" xfId="0" applyNumberFormat="1" applyFill="1" applyBorder="1" applyProtection="1"/>
    <xf numFmtId="164" fontId="0" fillId="0" borderId="0" xfId="0" applyNumberFormat="1"/>
    <xf numFmtId="0" fontId="25" fillId="0" borderId="0" xfId="0" applyFont="1"/>
    <xf numFmtId="0" fontId="11" fillId="0" borderId="35" xfId="0" applyFont="1" applyBorder="1" applyAlignment="1">
      <alignment horizontal="left"/>
    </xf>
    <xf numFmtId="0" fontId="2" fillId="0" borderId="0" xfId="0" applyFont="1" applyBorder="1" applyAlignment="1">
      <alignment horizontal="right"/>
    </xf>
    <xf numFmtId="166" fontId="2" fillId="7" borderId="17" xfId="0" applyNumberFormat="1" applyFont="1" applyFill="1" applyBorder="1" applyAlignment="1" applyProtection="1">
      <protection locked="0"/>
    </xf>
    <xf numFmtId="0" fontId="0" fillId="0" borderId="38" xfId="0" applyBorder="1"/>
    <xf numFmtId="167" fontId="2" fillId="0" borderId="7" xfId="0" applyNumberFormat="1" applyFont="1" applyFill="1" applyBorder="1" applyAlignment="1" applyProtection="1">
      <alignment wrapText="1"/>
    </xf>
    <xf numFmtId="164" fontId="2" fillId="8" borderId="34" xfId="0" applyNumberFormat="1" applyFont="1" applyFill="1" applyBorder="1" applyProtection="1"/>
    <xf numFmtId="166" fontId="2" fillId="0" borderId="0" xfId="0" applyNumberFormat="1" applyFont="1" applyFill="1" applyBorder="1" applyAlignment="1" applyProtection="1">
      <alignment horizontal="left" wrapText="1"/>
      <protection locked="0"/>
    </xf>
    <xf numFmtId="166" fontId="2" fillId="0" borderId="39" xfId="0" applyNumberFormat="1" applyFont="1" applyFill="1" applyBorder="1" applyAlignment="1" applyProtection="1">
      <alignment horizontal="left" wrapText="1"/>
      <protection locked="0"/>
    </xf>
    <xf numFmtId="9" fontId="12" fillId="9" borderId="0" xfId="2" applyNumberFormat="1" applyFont="1" applyFill="1"/>
    <xf numFmtId="166" fontId="2" fillId="0" borderId="13" xfId="1" applyNumberFormat="1" applyFont="1" applyBorder="1" applyAlignment="1">
      <alignment horizontal="center"/>
    </xf>
    <xf numFmtId="0" fontId="12" fillId="0" borderId="0" xfId="0" applyFont="1" applyBorder="1" applyAlignment="1">
      <alignment horizontal="center"/>
    </xf>
    <xf numFmtId="0" fontId="21" fillId="0" borderId="0" xfId="5" applyFont="1" applyBorder="1"/>
    <xf numFmtId="166" fontId="23" fillId="0" borderId="0" xfId="1" applyNumberFormat="1" applyFont="1" applyFill="1" applyBorder="1"/>
    <xf numFmtId="168" fontId="0" fillId="0" borderId="15" xfId="0" applyNumberFormat="1" applyFill="1" applyBorder="1" applyProtection="1">
      <protection locked="0"/>
    </xf>
    <xf numFmtId="166" fontId="2" fillId="0" borderId="8" xfId="0" applyNumberFormat="1" applyFont="1" applyFill="1" applyBorder="1" applyAlignment="1" applyProtection="1">
      <alignment wrapText="1"/>
      <protection locked="0"/>
    </xf>
    <xf numFmtId="166" fontId="2" fillId="0" borderId="40" xfId="0" applyNumberFormat="1" applyFont="1" applyFill="1" applyBorder="1" applyAlignment="1" applyProtection="1">
      <alignment wrapText="1"/>
      <protection locked="0"/>
    </xf>
    <xf numFmtId="49" fontId="2" fillId="0" borderId="42" xfId="0" applyNumberFormat="1" applyFont="1" applyFill="1" applyBorder="1" applyAlignment="1" applyProtection="1">
      <alignment wrapText="1"/>
      <protection locked="0"/>
    </xf>
    <xf numFmtId="166" fontId="0" fillId="10" borderId="41" xfId="0" applyNumberFormat="1" applyFill="1" applyBorder="1" applyProtection="1"/>
    <xf numFmtId="166" fontId="2" fillId="0" borderId="43" xfId="0" applyNumberFormat="1" applyFont="1" applyFill="1" applyBorder="1" applyAlignment="1" applyProtection="1">
      <alignment wrapText="1"/>
      <protection locked="0"/>
    </xf>
    <xf numFmtId="166" fontId="2" fillId="0" borderId="7" xfId="0" applyNumberFormat="1" applyFont="1" applyFill="1" applyBorder="1" applyAlignment="1" applyProtection="1">
      <alignment wrapText="1"/>
      <protection locked="0"/>
    </xf>
    <xf numFmtId="49" fontId="2" fillId="0" borderId="40" xfId="0" applyNumberFormat="1" applyFont="1" applyFill="1" applyBorder="1" applyAlignment="1" applyProtection="1">
      <alignment wrapText="1"/>
      <protection locked="0"/>
    </xf>
    <xf numFmtId="166" fontId="0" fillId="10" borderId="40" xfId="0" applyNumberFormat="1" applyFill="1" applyBorder="1" applyProtection="1"/>
    <xf numFmtId="164" fontId="0" fillId="10" borderId="40" xfId="0" applyNumberFormat="1" applyFill="1" applyBorder="1" applyProtection="1"/>
    <xf numFmtId="164" fontId="0" fillId="10" borderId="7" xfId="0" applyNumberFormat="1" applyFill="1" applyBorder="1" applyProtection="1"/>
    <xf numFmtId="49" fontId="2" fillId="0" borderId="19" xfId="0" applyNumberFormat="1" applyFont="1" applyFill="1" applyBorder="1" applyAlignment="1" applyProtection="1">
      <alignment wrapText="1"/>
      <protection locked="0"/>
    </xf>
    <xf numFmtId="166" fontId="2" fillId="0" borderId="44" xfId="0" applyNumberFormat="1" applyFont="1" applyFill="1" applyBorder="1" applyAlignment="1" applyProtection="1">
      <alignment wrapText="1"/>
      <protection locked="0"/>
    </xf>
    <xf numFmtId="166" fontId="0" fillId="10" borderId="21" xfId="0" applyNumberFormat="1" applyFill="1" applyBorder="1" applyProtection="1"/>
    <xf numFmtId="0" fontId="0" fillId="0" borderId="12" xfId="0" applyFill="1" applyBorder="1"/>
    <xf numFmtId="166" fontId="2" fillId="0" borderId="0" xfId="0" applyNumberFormat="1" applyFont="1" applyFill="1" applyBorder="1" applyAlignment="1" applyProtection="1">
      <protection locked="0"/>
    </xf>
    <xf numFmtId="166" fontId="2" fillId="0" borderId="0" xfId="0" applyNumberFormat="1" applyFont="1" applyFill="1" applyBorder="1" applyAlignment="1" applyProtection="1">
      <alignment wrapText="1"/>
      <protection locked="0"/>
    </xf>
    <xf numFmtId="164" fontId="0" fillId="0" borderId="0" xfId="0" applyNumberFormat="1" applyFill="1" applyBorder="1"/>
    <xf numFmtId="0" fontId="37" fillId="0" borderId="0" xfId="0" applyFont="1"/>
    <xf numFmtId="166" fontId="12" fillId="0" borderId="12" xfId="0" applyNumberFormat="1" applyFont="1" applyFill="1" applyBorder="1" applyAlignment="1" applyProtection="1">
      <alignment wrapText="1"/>
      <protection locked="0"/>
    </xf>
    <xf numFmtId="0" fontId="38" fillId="0" borderId="0" xfId="0" applyFont="1"/>
    <xf numFmtId="166" fontId="16" fillId="10" borderId="0" xfId="1" applyNumberFormat="1" applyFont="1" applyFill="1" applyAlignment="1"/>
    <xf numFmtId="0" fontId="16" fillId="10" borderId="0" xfId="0" applyNumberFormat="1" applyFont="1" applyFill="1"/>
    <xf numFmtId="0" fontId="39" fillId="0" borderId="0" xfId="0" applyFont="1"/>
    <xf numFmtId="0" fontId="40" fillId="0" borderId="0" xfId="0" applyFont="1"/>
    <xf numFmtId="0" fontId="38" fillId="6" borderId="0" xfId="0" applyFont="1" applyFill="1"/>
    <xf numFmtId="0" fontId="0" fillId="0" borderId="0" xfId="0" applyAlignment="1">
      <alignment wrapText="1"/>
    </xf>
    <xf numFmtId="0" fontId="16" fillId="0" borderId="0" xfId="0" applyFont="1" applyFill="1"/>
    <xf numFmtId="14" fontId="16" fillId="0" borderId="0" xfId="0" applyNumberFormat="1" applyFont="1" applyFill="1"/>
    <xf numFmtId="0" fontId="37" fillId="6" borderId="0" xfId="0" applyFont="1" applyFill="1"/>
    <xf numFmtId="0" fontId="2" fillId="0" borderId="0" xfId="0" applyFont="1" applyFill="1" applyBorder="1" applyAlignment="1">
      <alignment horizontal="center"/>
    </xf>
    <xf numFmtId="164" fontId="25" fillId="0" borderId="0" xfId="0" applyNumberFormat="1" applyFont="1"/>
    <xf numFmtId="164" fontId="41" fillId="0" borderId="0" xfId="0" applyNumberFormat="1" applyFont="1"/>
    <xf numFmtId="164" fontId="42" fillId="0" borderId="13" xfId="0" applyNumberFormat="1" applyFont="1" applyBorder="1"/>
    <xf numFmtId="166" fontId="25" fillId="0" borderId="0" xfId="1" applyNumberFormat="1" applyFont="1"/>
    <xf numFmtId="14" fontId="16" fillId="12" borderId="0" xfId="0" applyNumberFormat="1" applyFont="1" applyFill="1"/>
    <xf numFmtId="0" fontId="16" fillId="12" borderId="0" xfId="0" applyNumberFormat="1" applyFont="1" applyFill="1"/>
    <xf numFmtId="164" fontId="0" fillId="0" borderId="0" xfId="0" applyNumberFormat="1" applyFont="1" applyFill="1" applyBorder="1" applyAlignment="1">
      <alignment horizontal="center"/>
    </xf>
    <xf numFmtId="0" fontId="14" fillId="0" borderId="0" xfId="0" applyFont="1" applyFill="1" applyBorder="1" applyProtection="1"/>
    <xf numFmtId="0" fontId="15" fillId="0" borderId="0" xfId="3" applyFont="1" applyFill="1" applyBorder="1" applyProtection="1"/>
    <xf numFmtId="164" fontId="2" fillId="0" borderId="0" xfId="0" applyNumberFormat="1" applyFont="1" applyFill="1" applyBorder="1" applyAlignment="1">
      <alignment horizontal="right"/>
    </xf>
    <xf numFmtId="164" fontId="11" fillId="0" borderId="0" xfId="0" applyNumberFormat="1" applyFont="1" applyFill="1" applyBorder="1" applyProtection="1"/>
    <xf numFmtId="0" fontId="3" fillId="0" borderId="0" xfId="3" applyFont="1" applyFill="1" applyBorder="1" applyProtection="1"/>
    <xf numFmtId="164" fontId="2" fillId="0" borderId="0" xfId="0" applyNumberFormat="1" applyFont="1" applyFill="1" applyBorder="1"/>
    <xf numFmtId="0" fontId="24" fillId="0" borderId="0" xfId="3" applyFont="1" applyFill="1" applyBorder="1" applyProtection="1"/>
    <xf numFmtId="0" fontId="43" fillId="0" borderId="0" xfId="7"/>
    <xf numFmtId="0" fontId="2" fillId="0" borderId="0" xfId="0" applyFont="1"/>
    <xf numFmtId="0" fontId="0" fillId="0" borderId="0" xfId="0" applyFont="1"/>
    <xf numFmtId="0" fontId="2" fillId="0" borderId="0" xfId="0" applyFont="1" applyFill="1"/>
    <xf numFmtId="14" fontId="0" fillId="0" borderId="0" xfId="0" applyNumberFormat="1"/>
    <xf numFmtId="166" fontId="0" fillId="12" borderId="2" xfId="0" applyNumberFormat="1" applyFill="1" applyBorder="1" applyProtection="1"/>
    <xf numFmtId="164" fontId="0" fillId="12" borderId="7" xfId="0" applyNumberFormat="1" applyFill="1" applyBorder="1" applyProtection="1">
      <protection locked="0"/>
    </xf>
    <xf numFmtId="164" fontId="0" fillId="12" borderId="2" xfId="0" applyNumberFormat="1" applyFill="1" applyBorder="1" applyProtection="1">
      <protection locked="0"/>
    </xf>
    <xf numFmtId="166" fontId="0" fillId="12" borderId="7" xfId="0" applyNumberFormat="1" applyFill="1" applyBorder="1" applyProtection="1"/>
    <xf numFmtId="166" fontId="0" fillId="12" borderId="40" xfId="0" applyNumberFormat="1" applyFill="1" applyBorder="1" applyProtection="1"/>
    <xf numFmtId="167" fontId="2" fillId="0" borderId="40" xfId="0" applyNumberFormat="1" applyFont="1" applyFill="1" applyBorder="1" applyAlignment="1" applyProtection="1">
      <alignment wrapText="1"/>
    </xf>
    <xf numFmtId="164" fontId="0" fillId="12" borderId="40" xfId="0" applyNumberFormat="1" applyFill="1" applyBorder="1" applyProtection="1">
      <protection locked="0"/>
    </xf>
    <xf numFmtId="164" fontId="2" fillId="8" borderId="40" xfId="0" applyNumberFormat="1" applyFont="1" applyFill="1" applyBorder="1" applyProtection="1"/>
    <xf numFmtId="166" fontId="2" fillId="0" borderId="45" xfId="0" applyNumberFormat="1" applyFont="1" applyFill="1" applyBorder="1" applyAlignment="1" applyProtection="1">
      <alignment wrapText="1"/>
      <protection locked="0"/>
    </xf>
    <xf numFmtId="164" fontId="25" fillId="8" borderId="46" xfId="0" applyNumberFormat="1" applyFont="1" applyFill="1" applyBorder="1" applyProtection="1"/>
    <xf numFmtId="164" fontId="2" fillId="8" borderId="46" xfId="0" applyNumberFormat="1" applyFont="1" applyFill="1" applyBorder="1" applyProtection="1"/>
    <xf numFmtId="166" fontId="2" fillId="0" borderId="47" xfId="0" applyNumberFormat="1" applyFont="1" applyFill="1" applyBorder="1" applyAlignment="1" applyProtection="1">
      <alignment horizontal="center" wrapText="1"/>
      <protection locked="0"/>
    </xf>
    <xf numFmtId="166" fontId="12" fillId="0" borderId="48" xfId="0" applyNumberFormat="1" applyFont="1" applyFill="1" applyBorder="1" applyAlignment="1" applyProtection="1">
      <alignment horizontal="center" wrapText="1"/>
      <protection locked="0"/>
    </xf>
    <xf numFmtId="164" fontId="0" fillId="10" borderId="48" xfId="0" applyNumberFormat="1" applyFill="1" applyBorder="1" applyProtection="1"/>
    <xf numFmtId="164" fontId="0" fillId="12" borderId="0" xfId="0" applyNumberFormat="1" applyFill="1" applyBorder="1"/>
    <xf numFmtId="164" fontId="0" fillId="12" borderId="0" xfId="0" applyNumberFormat="1" applyFill="1" applyBorder="1" applyProtection="1">
      <protection locked="0"/>
    </xf>
    <xf numFmtId="0" fontId="11" fillId="0" borderId="0" xfId="0" applyFont="1"/>
    <xf numFmtId="0" fontId="2" fillId="5" borderId="0" xfId="0" applyFont="1" applyFill="1"/>
    <xf numFmtId="0" fontId="0" fillId="12" borderId="2" xfId="0" applyNumberFormat="1" applyFont="1" applyFill="1" applyBorder="1"/>
    <xf numFmtId="0" fontId="0" fillId="5" borderId="0" xfId="0" applyFill="1"/>
    <xf numFmtId="0" fontId="44" fillId="0" borderId="0" xfId="0" applyFont="1"/>
    <xf numFmtId="0" fontId="37" fillId="0" borderId="0" xfId="0" applyFont="1" applyAlignment="1"/>
    <xf numFmtId="0" fontId="37" fillId="0" borderId="13" xfId="0" applyFont="1" applyBorder="1" applyAlignment="1"/>
    <xf numFmtId="0" fontId="12" fillId="0" borderId="0" xfId="0" applyFont="1" applyFill="1" applyBorder="1"/>
    <xf numFmtId="0" fontId="13" fillId="0" borderId="0" xfId="0" applyFont="1" applyFill="1"/>
    <xf numFmtId="9" fontId="12" fillId="0" borderId="0" xfId="2" applyNumberFormat="1" applyFont="1" applyFill="1"/>
    <xf numFmtId="0" fontId="37" fillId="9" borderId="0" xfId="0" applyFont="1" applyFill="1"/>
    <xf numFmtId="0" fontId="40" fillId="0" borderId="0" xfId="0" applyFont="1" applyAlignment="1">
      <alignment wrapText="1"/>
    </xf>
    <xf numFmtId="0" fontId="11" fillId="0" borderId="0" xfId="0" applyFont="1" applyFill="1" applyBorder="1" applyAlignment="1" applyProtection="1">
      <alignment wrapText="1"/>
    </xf>
    <xf numFmtId="0" fontId="0" fillId="0" borderId="12" xfId="0" applyFill="1" applyBorder="1" applyAlignment="1">
      <alignment horizontal="left"/>
    </xf>
    <xf numFmtId="0" fontId="0" fillId="0" borderId="0" xfId="0" applyFont="1" applyFill="1" applyBorder="1" applyProtection="1"/>
    <xf numFmtId="0" fontId="2" fillId="0" borderId="0" xfId="0" applyFont="1" applyFill="1" applyBorder="1" applyAlignment="1" applyProtection="1"/>
    <xf numFmtId="9" fontId="9" fillId="2" borderId="0" xfId="2" applyNumberFormat="1" applyFont="1" applyFill="1" applyBorder="1"/>
    <xf numFmtId="0" fontId="12" fillId="0" borderId="0" xfId="0" applyFont="1" applyFill="1"/>
    <xf numFmtId="0" fontId="35" fillId="0" borderId="0" xfId="0" applyFont="1" applyFill="1"/>
    <xf numFmtId="0" fontId="43" fillId="0" borderId="0" xfId="7" applyFill="1"/>
    <xf numFmtId="0" fontId="49" fillId="0" borderId="0" xfId="0" applyFont="1"/>
    <xf numFmtId="0" fontId="3" fillId="0" borderId="9" xfId="0" applyFont="1" applyBorder="1"/>
    <xf numFmtId="3" fontId="0" fillId="0" borderId="0" xfId="8" applyNumberFormat="1" applyFont="1" applyFill="1" applyBorder="1"/>
    <xf numFmtId="3" fontId="0" fillId="0" borderId="0" xfId="0" applyNumberFormat="1"/>
    <xf numFmtId="0" fontId="0" fillId="13" borderId="0" xfId="0" applyFill="1"/>
    <xf numFmtId="0" fontId="2" fillId="13" borderId="0" xfId="0" applyFont="1" applyFill="1" applyBorder="1"/>
    <xf numFmtId="0" fontId="0" fillId="13" borderId="25" xfId="0" applyFont="1" applyFill="1" applyBorder="1"/>
    <xf numFmtId="0" fontId="0" fillId="13" borderId="10" xfId="0" applyFont="1" applyFill="1" applyBorder="1"/>
    <xf numFmtId="0" fontId="0" fillId="13" borderId="10" xfId="0" applyFill="1" applyBorder="1"/>
    <xf numFmtId="0" fontId="2" fillId="13" borderId="26" xfId="0" applyFont="1" applyFill="1" applyBorder="1"/>
    <xf numFmtId="0" fontId="0" fillId="13" borderId="0" xfId="0" applyFill="1" applyBorder="1"/>
    <xf numFmtId="0" fontId="40" fillId="0" borderId="0" xfId="0" applyFont="1" applyAlignment="1">
      <alignment horizontal="left" wrapText="1"/>
    </xf>
    <xf numFmtId="0" fontId="16" fillId="12" borderId="0" xfId="0" applyNumberFormat="1" applyFont="1" applyFill="1" applyAlignment="1">
      <alignment horizontal="left"/>
    </xf>
    <xf numFmtId="14" fontId="16" fillId="12" borderId="0" xfId="0" applyNumberFormat="1" applyFont="1" applyFill="1" applyAlignment="1">
      <alignment horizontal="left"/>
    </xf>
    <xf numFmtId="166" fontId="0" fillId="12" borderId="5" xfId="0" applyNumberFormat="1" applyFill="1" applyBorder="1" applyAlignment="1" applyProtection="1">
      <alignment horizontal="left"/>
    </xf>
    <xf numFmtId="166" fontId="0" fillId="12" borderId="7" xfId="0" applyNumberFormat="1" applyFill="1" applyBorder="1" applyAlignment="1" applyProtection="1">
      <alignment horizontal="left"/>
    </xf>
    <xf numFmtId="167" fontId="2" fillId="0" borderId="8" xfId="0" applyNumberFormat="1" applyFont="1" applyFill="1" applyBorder="1" applyAlignment="1" applyProtection="1">
      <alignment horizontal="center" wrapText="1"/>
    </xf>
    <xf numFmtId="167" fontId="2" fillId="0" borderId="21" xfId="0" applyNumberFormat="1" applyFont="1" applyFill="1" applyBorder="1" applyAlignment="1" applyProtection="1">
      <alignment horizontal="center" wrapText="1"/>
    </xf>
    <xf numFmtId="167" fontId="2" fillId="0" borderId="25" xfId="0" applyNumberFormat="1" applyFont="1" applyFill="1" applyBorder="1" applyAlignment="1" applyProtection="1">
      <alignment horizontal="center" wrapText="1"/>
    </xf>
    <xf numFmtId="167" fontId="2" fillId="0" borderId="10" xfId="0" applyNumberFormat="1" applyFont="1" applyFill="1" applyBorder="1" applyAlignment="1" applyProtection="1">
      <alignment horizontal="center" wrapText="1"/>
    </xf>
    <xf numFmtId="167" fontId="2" fillId="0" borderId="1" xfId="0" applyNumberFormat="1" applyFont="1" applyFill="1" applyBorder="1" applyAlignment="1" applyProtection="1">
      <alignment horizontal="center" wrapText="1"/>
    </xf>
    <xf numFmtId="0" fontId="2" fillId="0" borderId="0" xfId="0" applyFont="1" applyFill="1" applyBorder="1" applyAlignment="1">
      <alignment horizontal="center"/>
    </xf>
    <xf numFmtId="166" fontId="11" fillId="7" borderId="11" xfId="0" applyNumberFormat="1" applyFont="1" applyFill="1" applyBorder="1" applyAlignment="1" applyProtection="1">
      <alignment horizontal="center"/>
      <protection locked="0"/>
    </xf>
    <xf numFmtId="166" fontId="11" fillId="7" borderId="9" xfId="0" applyNumberFormat="1" applyFont="1" applyFill="1" applyBorder="1" applyAlignment="1" applyProtection="1">
      <alignment horizontal="center"/>
      <protection locked="0"/>
    </xf>
    <xf numFmtId="166" fontId="11" fillId="7" borderId="1" xfId="0" applyNumberFormat="1" applyFont="1" applyFill="1" applyBorder="1" applyAlignment="1" applyProtection="1">
      <alignment horizontal="center"/>
      <protection locked="0"/>
    </xf>
    <xf numFmtId="167" fontId="2" fillId="0" borderId="0" xfId="0" applyNumberFormat="1" applyFont="1" applyFill="1" applyBorder="1" applyAlignment="1">
      <alignment horizontal="center"/>
    </xf>
    <xf numFmtId="166" fontId="2" fillId="0" borderId="8" xfId="0" applyNumberFormat="1" applyFont="1" applyFill="1" applyBorder="1" applyAlignment="1" applyProtection="1">
      <alignment horizontal="center" wrapText="1"/>
      <protection locked="0"/>
    </xf>
    <xf numFmtId="166" fontId="2" fillId="0" borderId="21" xfId="0" applyNumberFormat="1" applyFont="1" applyFill="1" applyBorder="1" applyAlignment="1" applyProtection="1">
      <alignment horizontal="center" wrapText="1"/>
      <protection locked="0"/>
    </xf>
    <xf numFmtId="0" fontId="16" fillId="0" borderId="11" xfId="0" applyFont="1" applyBorder="1" applyAlignment="1">
      <alignment horizontal="left" wrapText="1"/>
    </xf>
    <xf numFmtId="0" fontId="16" fillId="0" borderId="9" xfId="0" applyFont="1" applyBorder="1" applyAlignment="1">
      <alignment horizontal="left" wrapText="1"/>
    </xf>
    <xf numFmtId="0" fontId="16" fillId="0" borderId="1" xfId="0" applyFont="1" applyBorder="1" applyAlignment="1">
      <alignment horizontal="left" wrapText="1"/>
    </xf>
    <xf numFmtId="0" fontId="16" fillId="0" borderId="12" xfId="0" applyFont="1" applyBorder="1" applyAlignment="1">
      <alignment horizontal="left" wrapText="1"/>
    </xf>
    <xf numFmtId="0" fontId="16" fillId="0" borderId="0" xfId="0" applyFont="1" applyBorder="1" applyAlignment="1">
      <alignment horizontal="left" wrapText="1"/>
    </xf>
    <xf numFmtId="0" fontId="16" fillId="0" borderId="13" xfId="0" applyFont="1" applyBorder="1" applyAlignment="1">
      <alignment horizontal="left" wrapText="1"/>
    </xf>
    <xf numFmtId="0" fontId="16" fillId="0" borderId="14" xfId="0" applyFont="1" applyBorder="1" applyAlignment="1">
      <alignment horizontal="left" wrapText="1"/>
    </xf>
    <xf numFmtId="0" fontId="16" fillId="0" borderId="15" xfId="0" applyFont="1" applyBorder="1" applyAlignment="1">
      <alignment horizontal="left" wrapText="1"/>
    </xf>
    <xf numFmtId="0" fontId="16" fillId="0" borderId="16" xfId="0" applyFont="1" applyBorder="1" applyAlignment="1">
      <alignment horizontal="left" wrapText="1"/>
    </xf>
    <xf numFmtId="166" fontId="2" fillId="0" borderId="36" xfId="0" applyNumberFormat="1" applyFont="1" applyFill="1" applyBorder="1" applyAlignment="1" applyProtection="1">
      <alignment horizontal="left" wrapText="1"/>
      <protection locked="0"/>
    </xf>
    <xf numFmtId="166" fontId="2" fillId="0" borderId="37" xfId="0" applyNumberFormat="1" applyFont="1" applyFill="1" applyBorder="1" applyAlignment="1" applyProtection="1">
      <alignment horizontal="left" wrapText="1"/>
      <protection locked="0"/>
    </xf>
    <xf numFmtId="166" fontId="2" fillId="0" borderId="2" xfId="0" applyNumberFormat="1" applyFont="1" applyFill="1" applyBorder="1" applyAlignment="1" applyProtection="1">
      <alignment horizontal="left" wrapText="1"/>
      <protection locked="0"/>
    </xf>
    <xf numFmtId="166" fontId="0" fillId="0" borderId="2" xfId="0" applyNumberFormat="1" applyFill="1" applyBorder="1" applyAlignment="1" applyProtection="1">
      <alignment horizontal="left"/>
      <protection locked="0"/>
    </xf>
    <xf numFmtId="166" fontId="2" fillId="0" borderId="2" xfId="0" applyNumberFormat="1" applyFont="1" applyFill="1" applyBorder="1" applyAlignment="1" applyProtection="1">
      <alignment horizontal="left"/>
      <protection locked="0"/>
    </xf>
    <xf numFmtId="166" fontId="2" fillId="12" borderId="5" xfId="0" applyNumberFormat="1" applyFont="1" applyFill="1" applyBorder="1" applyAlignment="1" applyProtection="1">
      <alignment horizontal="left"/>
    </xf>
    <xf numFmtId="166" fontId="2" fillId="12" borderId="7" xfId="0" applyNumberFormat="1" applyFont="1" applyFill="1" applyBorder="1" applyAlignment="1" applyProtection="1">
      <alignment horizontal="left"/>
    </xf>
    <xf numFmtId="0" fontId="0" fillId="0" borderId="12" xfId="0" applyBorder="1" applyAlignment="1">
      <alignment horizontal="left" wrapText="1"/>
    </xf>
    <xf numFmtId="166" fontId="2" fillId="7" borderId="11" xfId="0" applyNumberFormat="1" applyFont="1" applyFill="1" applyBorder="1" applyAlignment="1" applyProtection="1">
      <alignment horizontal="center"/>
      <protection locked="0"/>
    </xf>
    <xf numFmtId="166" fontId="2" fillId="7" borderId="9" xfId="0" applyNumberFormat="1" applyFont="1" applyFill="1" applyBorder="1" applyAlignment="1" applyProtection="1">
      <alignment horizontal="center"/>
      <protection locked="0"/>
    </xf>
    <xf numFmtId="166" fontId="2" fillId="7" borderId="1" xfId="0" applyNumberFormat="1" applyFont="1" applyFill="1" applyBorder="1" applyAlignment="1" applyProtection="1">
      <alignment horizontal="center"/>
      <protection locked="0"/>
    </xf>
    <xf numFmtId="166" fontId="2" fillId="7" borderId="17" xfId="0" applyNumberFormat="1" applyFont="1" applyFill="1" applyBorder="1" applyAlignment="1" applyProtection="1">
      <alignment horizontal="center"/>
      <protection locked="0"/>
    </xf>
    <xf numFmtId="166" fontId="2" fillId="7" borderId="18" xfId="0" applyNumberFormat="1" applyFont="1" applyFill="1" applyBorder="1" applyAlignment="1" applyProtection="1">
      <alignment horizontal="center"/>
      <protection locked="0"/>
    </xf>
    <xf numFmtId="166" fontId="2" fillId="7" borderId="19" xfId="0" applyNumberFormat="1" applyFont="1" applyFill="1" applyBorder="1" applyAlignment="1" applyProtection="1">
      <alignment horizontal="center"/>
      <protection locked="0"/>
    </xf>
    <xf numFmtId="0" fontId="2" fillId="0" borderId="12" xfId="0" applyFont="1" applyFill="1" applyBorder="1" applyAlignment="1" applyProtection="1">
      <alignment horizontal="left"/>
    </xf>
    <xf numFmtId="0" fontId="2" fillId="0" borderId="0" xfId="0" applyFont="1" applyFill="1" applyBorder="1" applyAlignment="1" applyProtection="1">
      <alignment horizontal="left"/>
    </xf>
    <xf numFmtId="0" fontId="37" fillId="0" borderId="0" xfId="0" applyFont="1" applyAlignment="1">
      <alignment horizontal="left" wrapText="1"/>
    </xf>
    <xf numFmtId="0" fontId="2" fillId="0" borderId="14" xfId="0" applyFont="1" applyBorder="1" applyAlignment="1">
      <alignment horizontal="left"/>
    </xf>
    <xf numFmtId="0" fontId="2" fillId="0" borderId="15" xfId="0" applyFont="1" applyBorder="1" applyAlignment="1">
      <alignment horizontal="left"/>
    </xf>
    <xf numFmtId="0" fontId="12" fillId="0" borderId="0" xfId="0" applyFont="1" applyBorder="1" applyAlignment="1">
      <alignment horizontal="center"/>
    </xf>
    <xf numFmtId="166" fontId="16" fillId="10" borderId="0" xfId="1" applyNumberFormat="1" applyFont="1" applyFill="1" applyAlignment="1">
      <alignment horizontal="center"/>
    </xf>
    <xf numFmtId="0" fontId="0" fillId="13" borderId="0" xfId="0" applyFill="1" applyAlignment="1">
      <alignment horizontal="center" wrapText="1"/>
    </xf>
    <xf numFmtId="0" fontId="3" fillId="0" borderId="11" xfId="0" applyFont="1" applyBorder="1" applyAlignment="1">
      <alignment horizontal="center" wrapText="1"/>
    </xf>
    <xf numFmtId="0" fontId="3" fillId="0" borderId="9" xfId="0" applyFont="1" applyBorder="1" applyAlignment="1">
      <alignment horizontal="center" wrapText="1"/>
    </xf>
    <xf numFmtId="0" fontId="10" fillId="4" borderId="10" xfId="0" applyFont="1" applyFill="1" applyBorder="1" applyAlignment="1">
      <alignment horizontal="center"/>
    </xf>
    <xf numFmtId="0" fontId="10" fillId="4" borderId="26" xfId="0" applyFont="1" applyFill="1" applyBorder="1" applyAlignment="1">
      <alignment horizontal="center"/>
    </xf>
    <xf numFmtId="0" fontId="2" fillId="0" borderId="25" xfId="0" applyFont="1" applyBorder="1" applyAlignment="1">
      <alignment horizontal="center"/>
    </xf>
    <xf numFmtId="0" fontId="2" fillId="0" borderId="10" xfId="0" applyFont="1" applyBorder="1" applyAlignment="1">
      <alignment horizontal="center"/>
    </xf>
    <xf numFmtId="0" fontId="2" fillId="0" borderId="26" xfId="0" applyFont="1" applyBorder="1" applyAlignment="1">
      <alignment horizontal="center"/>
    </xf>
    <xf numFmtId="0" fontId="2" fillId="10" borderId="11" xfId="0" applyFont="1" applyFill="1" applyBorder="1" applyAlignment="1">
      <alignment horizontal="center"/>
    </xf>
    <xf numFmtId="0" fontId="2" fillId="10" borderId="1" xfId="0" applyFont="1" applyFill="1" applyBorder="1" applyAlignment="1">
      <alignment horizontal="center"/>
    </xf>
    <xf numFmtId="0" fontId="2" fillId="10" borderId="9" xfId="0" applyFont="1" applyFill="1" applyBorder="1" applyAlignment="1">
      <alignment horizontal="center"/>
    </xf>
    <xf numFmtId="0" fontId="2" fillId="0" borderId="25" xfId="0" applyFont="1" applyFill="1" applyBorder="1"/>
    <xf numFmtId="0" fontId="2" fillId="0" borderId="10" xfId="0" applyFont="1" applyFill="1" applyBorder="1"/>
    <xf numFmtId="0" fontId="2" fillId="0" borderId="0" xfId="0" applyFont="1" applyFill="1" applyBorder="1"/>
    <xf numFmtId="0" fontId="0" fillId="0" borderId="25" xfId="0" applyFont="1" applyFill="1" applyBorder="1"/>
    <xf numFmtId="0" fontId="0" fillId="0" borderId="10" xfId="0" applyFont="1" applyFill="1" applyBorder="1"/>
    <xf numFmtId="0" fontId="0" fillId="0" borderId="10" xfId="0" applyFill="1" applyBorder="1"/>
    <xf numFmtId="0" fontId="2" fillId="0" borderId="26" xfId="0" applyFont="1" applyFill="1" applyBorder="1"/>
  </cellXfs>
  <cellStyles count="9">
    <cellStyle name="Comma" xfId="1" builtinId="3"/>
    <cellStyle name="Currency 2" xfId="8" xr:uid="{FA14E2D6-43BD-4478-84B8-B7232B556A4B}"/>
    <cellStyle name="Hyperlink" xfId="7" builtinId="8"/>
    <cellStyle name="Normal" xfId="0" builtinId="0"/>
    <cellStyle name="Normal 2" xfId="3" xr:uid="{00000000-0005-0000-0000-000003000000}"/>
    <cellStyle name="Normal 2 2" xfId="6" xr:uid="{00000000-0005-0000-0000-000004000000}"/>
    <cellStyle name="Normal 3" xfId="5" xr:uid="{00000000-0005-0000-0000-000005000000}"/>
    <cellStyle name="Normal_Lønnstabell_Lønnstabell" xfId="4" xr:uid="{00000000-0005-0000-0000-000006000000}"/>
    <cellStyle name="Percent" xfId="2" builtinId="5"/>
  </cellStyles>
  <dxfs count="11">
    <dxf>
      <font>
        <b val="0"/>
        <i val="0"/>
        <color theme="0"/>
      </font>
      <fill>
        <patternFill>
          <bgColor theme="0"/>
        </patternFill>
      </fill>
    </dxf>
    <dxf>
      <font>
        <strike/>
        <color rgb="FFFF0000"/>
      </font>
    </dxf>
    <dxf>
      <font>
        <color theme="0"/>
      </font>
      <fill>
        <patternFill>
          <bgColor theme="0"/>
        </patternFill>
      </fill>
    </dxf>
    <dxf>
      <font>
        <b/>
        <i/>
        <color rgb="FFFF0000"/>
      </font>
    </dxf>
    <dxf>
      <font>
        <b/>
        <i val="0"/>
        <strike val="0"/>
        <color rgb="FFFF0000"/>
      </font>
    </dxf>
    <dxf>
      <font>
        <b/>
        <i val="0"/>
        <strike val="0"/>
        <color rgb="FFFF0000"/>
      </font>
    </dxf>
    <dxf>
      <font>
        <color theme="0"/>
      </font>
    </dxf>
    <dxf>
      <font>
        <color theme="0"/>
      </font>
      <fill>
        <patternFill>
          <bgColor theme="0"/>
        </patternFill>
      </fill>
    </dxf>
    <dxf>
      <font>
        <color theme="0"/>
      </font>
      <fill>
        <patternFill>
          <bgColor theme="0"/>
        </patternFill>
      </fill>
    </dxf>
    <dxf>
      <font>
        <color theme="0"/>
      </font>
      <fill>
        <patternFill patternType="none">
          <bgColor auto="1"/>
        </patternFill>
      </fill>
    </dxf>
    <dxf>
      <font>
        <color theme="0"/>
      </font>
      <fill>
        <patternFill patternType="none">
          <bgColor auto="1"/>
        </patternFill>
      </fill>
    </dxf>
  </dxfs>
  <tableStyles count="0" defaultTableStyle="TableStyleMedium2" defaultPivotStyle="PivotStyleMedium9"/>
  <colors>
    <mruColors>
      <color rgb="FFFFFF99"/>
      <color rgb="FFFF5050"/>
      <color rgb="FFFF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terjru\AppData\Local\Microsoft\Windows\INetCache\Content.Outlook\2AEHZ39W\Kopi%20av%20Beregningsmodell%20EVU%20v5-0409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oe\ok\radg\Prosjektst&#248;tte\BOA\Budsjettmaler\2019\Gjeldende%20versjon\NFR%20%20mono%20eller%20partner%202019%20(v.3.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rukerveiledning"/>
      <sheetName val="Input"/>
      <sheetName val="Beregninger"/>
      <sheetName val="Oppsummert"/>
      <sheetName val="Unntak i egenbetalingsforsk"/>
      <sheetName val="Finansieringskategorier"/>
      <sheetName val="Figurberegning"/>
      <sheetName val="Def"/>
    </sheetNames>
    <sheetDataSet>
      <sheetData sheetId="0"/>
      <sheetData sheetId="1"/>
      <sheetData sheetId="2"/>
      <sheetData sheetId="3"/>
      <sheetData sheetId="4"/>
      <sheetData sheetId="5"/>
      <sheetData sheetId="6"/>
      <sheetData sheetId="7">
        <row r="2">
          <cell r="A2" t="str">
            <v>A</v>
          </cell>
          <cell r="G2" t="str">
            <v>a.</v>
          </cell>
        </row>
        <row r="3">
          <cell r="A3" t="str">
            <v>B</v>
          </cell>
          <cell r="G3" t="str">
            <v>b.</v>
          </cell>
        </row>
        <row r="4">
          <cell r="A4" t="str">
            <v>C</v>
          </cell>
          <cell r="G4" t="str">
            <v>c.</v>
          </cell>
        </row>
        <row r="5">
          <cell r="A5" t="str">
            <v>D</v>
          </cell>
          <cell r="G5" t="str">
            <v>d.</v>
          </cell>
        </row>
        <row r="6">
          <cell r="A6" t="str">
            <v>E</v>
          </cell>
        </row>
        <row r="7">
          <cell r="A7" t="str">
            <v>F</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kke oppdat-Veiledning"/>
      <sheetName val="1. Prosjektinfo"/>
      <sheetName val="2. Budsjettering - Direkte lønn"/>
      <sheetName val="3. Budsjettering - Timer"/>
      <sheetName val="4. Budsjettering -Drift"/>
      <sheetName val="5. Oppsummering Budsjett"/>
      <sheetName val="6. NFR-søknad"/>
      <sheetName val="7. Samspill BOA-BFV"/>
      <sheetName val="Oppslag"/>
    </sheetNames>
    <sheetDataSet>
      <sheetData sheetId="0"/>
      <sheetData sheetId="1"/>
      <sheetData sheetId="2"/>
      <sheetData sheetId="3"/>
      <sheetData sheetId="4"/>
      <sheetData sheetId="5"/>
      <sheetData sheetId="6"/>
      <sheetData sheetId="7"/>
      <sheetData sheetId="8">
        <row r="3">
          <cell r="B3" t="str">
            <v>Stipendiat</v>
          </cell>
          <cell r="AX3" t="str">
            <v>År</v>
          </cell>
          <cell r="AY3" t="str">
            <v>Reisekostnader</v>
          </cell>
          <cell r="BA3" t="str">
            <v>Ja</v>
          </cell>
        </row>
        <row r="4">
          <cell r="B4" t="str">
            <v>Postdoktor</v>
          </cell>
          <cell r="AX4" t="str">
            <v>Måneder</v>
          </cell>
          <cell r="AY4" t="str">
            <v>Innkjøp av FoU-tjen.</v>
          </cell>
          <cell r="BA4" t="str">
            <v>Nei</v>
          </cell>
        </row>
        <row r="5">
          <cell r="B5" t="str">
            <v>Forsker</v>
          </cell>
          <cell r="AY5" t="str">
            <v>Andre leiested</v>
          </cell>
        </row>
        <row r="6">
          <cell r="B6" t="str">
            <v>Professor</v>
          </cell>
          <cell r="AY6" t="str">
            <v>Investeringer</v>
          </cell>
        </row>
        <row r="7">
          <cell r="B7" t="str">
            <v>Professor II</v>
          </cell>
          <cell r="AY7" t="str">
            <v>Eget leiested</v>
          </cell>
        </row>
        <row r="8">
          <cell r="B8" t="str">
            <v>Vitenskapelig assistent</v>
          </cell>
          <cell r="AY8" t="str">
            <v>Andre driftskostnader</v>
          </cell>
        </row>
        <row r="9">
          <cell r="B9" t="str">
            <v>Førsteamanuensis</v>
          </cell>
        </row>
        <row r="10">
          <cell r="B10" t="str">
            <v>Avdelingsingeniør</v>
          </cell>
        </row>
        <row r="11">
          <cell r="B11" t="str">
            <v>Førsteamanuensis II</v>
          </cell>
        </row>
        <row r="12">
          <cell r="B12" t="str">
            <v>Prosjektleder</v>
          </cell>
        </row>
        <row r="13">
          <cell r="B13" t="str">
            <v>Ingeniør</v>
          </cell>
        </row>
        <row r="14">
          <cell r="B14" t="str">
            <v>Hjelpearbeider</v>
          </cell>
          <cell r="S14" t="str">
            <v>Tekn./Adm. 7</v>
          </cell>
        </row>
        <row r="15">
          <cell r="B15" t="str">
            <v>Unge arbeidstakere</v>
          </cell>
          <cell r="S15" t="str">
            <v>Tekn./Adm. 6</v>
          </cell>
        </row>
        <row r="16">
          <cell r="B16" t="str">
            <v>Laboratorieassistent</v>
          </cell>
          <cell r="S16" t="str">
            <v>Tekn./Adm. 5</v>
          </cell>
        </row>
        <row r="17">
          <cell r="B17" t="str">
            <v>Lærling</v>
          </cell>
          <cell r="S17" t="str">
            <v>Tekn./Adm. 4</v>
          </cell>
        </row>
        <row r="18">
          <cell r="B18" t="str">
            <v>Lærling (reform  94)</v>
          </cell>
          <cell r="S18" t="str">
            <v>Tekn./Adm. 3</v>
          </cell>
        </row>
        <row r="19">
          <cell r="B19" t="str">
            <v>Sekretær</v>
          </cell>
          <cell r="S19" t="str">
            <v>Tekn./Adm. 2</v>
          </cell>
        </row>
        <row r="20">
          <cell r="B20" t="str">
            <v>Renholder</v>
          </cell>
          <cell r="S20" t="str">
            <v>Tekn./Adm. 1</v>
          </cell>
        </row>
        <row r="21">
          <cell r="B21" t="str">
            <v>Fullmektig</v>
          </cell>
          <cell r="S21" t="str">
            <v>Forsker 7</v>
          </cell>
        </row>
        <row r="22">
          <cell r="B22" t="str">
            <v>Førstefullmektig</v>
          </cell>
          <cell r="S22" t="str">
            <v>Forsker 6</v>
          </cell>
        </row>
        <row r="23">
          <cell r="B23" t="str">
            <v>Driftsoperatør</v>
          </cell>
          <cell r="S23" t="str">
            <v>Forsker 5</v>
          </cell>
        </row>
        <row r="24">
          <cell r="B24" t="str">
            <v>Driftstekniker</v>
          </cell>
          <cell r="S24" t="str">
            <v>Forsker 4</v>
          </cell>
        </row>
        <row r="25">
          <cell r="B25" t="str">
            <v>Førstesekretær</v>
          </cell>
          <cell r="S25" t="str">
            <v>Forsker 3</v>
          </cell>
        </row>
        <row r="26">
          <cell r="B26" t="str">
            <v>Fagarbeider m/fagbrev</v>
          </cell>
          <cell r="S26" t="str">
            <v>Forsker 2</v>
          </cell>
        </row>
        <row r="27">
          <cell r="B27" t="str">
            <v>Bibliotekar</v>
          </cell>
          <cell r="S27" t="str">
            <v>Forsker 1</v>
          </cell>
        </row>
        <row r="28">
          <cell r="B28" t="str">
            <v>Sjåfør</v>
          </cell>
        </row>
        <row r="29">
          <cell r="B29" t="str">
            <v>Renholdsleder</v>
          </cell>
        </row>
        <row r="30">
          <cell r="B30" t="str">
            <v>Tekniker</v>
          </cell>
        </row>
        <row r="31">
          <cell r="B31" t="str">
            <v>Driftsleder</v>
          </cell>
        </row>
        <row r="32">
          <cell r="B32" t="str">
            <v>Konsulent</v>
          </cell>
        </row>
        <row r="33">
          <cell r="B33" t="str">
            <v>Førstekonsulent</v>
          </cell>
        </row>
        <row r="34">
          <cell r="B34" t="str">
            <v>Spesialbibliotekar</v>
          </cell>
        </row>
        <row r="35">
          <cell r="B35" t="str">
            <v>Seniorkonsulent</v>
          </cell>
        </row>
        <row r="36">
          <cell r="B36" t="str">
            <v>Hovedbibliotekar</v>
          </cell>
        </row>
        <row r="37">
          <cell r="B37" t="str">
            <v>Overingeniør</v>
          </cell>
        </row>
        <row r="38">
          <cell r="B38" t="str">
            <v>Høgskolelærer/øvingslærer</v>
          </cell>
        </row>
        <row r="39">
          <cell r="B39" t="str">
            <v>Avdelingsleder</v>
          </cell>
        </row>
        <row r="40">
          <cell r="B40" t="str">
            <v>Rådgiver</v>
          </cell>
        </row>
        <row r="41">
          <cell r="B41" t="str">
            <v>Universitetslektor</v>
          </cell>
        </row>
        <row r="42">
          <cell r="B42" t="str">
            <v>Universitetslektor I</v>
          </cell>
        </row>
        <row r="43">
          <cell r="B43" t="str">
            <v>Avdelingssykepleier</v>
          </cell>
        </row>
        <row r="44">
          <cell r="B44" t="str">
            <v>Undervisningsleder</v>
          </cell>
        </row>
        <row r="45">
          <cell r="B45" t="str">
            <v>Universitetsbibliotekar</v>
          </cell>
        </row>
        <row r="46">
          <cell r="B46" t="str">
            <v>Bedriftsfysioterapeut</v>
          </cell>
        </row>
        <row r="47">
          <cell r="B47" t="str">
            <v>Bedriftssykepleier</v>
          </cell>
        </row>
        <row r="48">
          <cell r="B48" t="str">
            <v>Senioringeniør</v>
          </cell>
        </row>
        <row r="49">
          <cell r="B49" t="str">
            <v>Amanuensis</v>
          </cell>
        </row>
        <row r="50">
          <cell r="B50" t="str">
            <v>Førstebibliotekar</v>
          </cell>
        </row>
        <row r="51">
          <cell r="B51" t="str">
            <v>Høgskolelektor</v>
          </cell>
        </row>
        <row r="52">
          <cell r="B52" t="str">
            <v>Klinikkveterinær</v>
          </cell>
        </row>
        <row r="53">
          <cell r="B53" t="str">
            <v>Førstelektor</v>
          </cell>
        </row>
        <row r="54">
          <cell r="B54" t="str">
            <v>Kontorsjef</v>
          </cell>
        </row>
        <row r="55">
          <cell r="B55" t="str">
            <v>Seniorrådgiver</v>
          </cell>
        </row>
        <row r="56">
          <cell r="B56" t="str">
            <v>Sjefingeniør</v>
          </cell>
        </row>
        <row r="57">
          <cell r="B57" t="str">
            <v>Psykolog med godkjent spesiali</v>
          </cell>
        </row>
        <row r="58">
          <cell r="B58" t="str">
            <v>Seniorarkitekt</v>
          </cell>
        </row>
        <row r="59">
          <cell r="B59" t="str">
            <v>Seksjonssjef</v>
          </cell>
        </row>
        <row r="60">
          <cell r="B60" t="str">
            <v>Dosent</v>
          </cell>
        </row>
        <row r="61">
          <cell r="B61" t="str">
            <v>Bedriftslege</v>
          </cell>
        </row>
        <row r="62">
          <cell r="B62" t="str">
            <v>Avdelingsdirektør</v>
          </cell>
        </row>
        <row r="63">
          <cell r="B63" t="str">
            <v>Instituttleder</v>
          </cell>
        </row>
        <row r="64">
          <cell r="B64" t="str">
            <v>Forskningssjef</v>
          </cell>
        </row>
        <row r="65">
          <cell r="B65" t="str">
            <v>Dekan</v>
          </cell>
        </row>
        <row r="66">
          <cell r="B66" t="str">
            <v>Prorektor</v>
          </cell>
        </row>
        <row r="67">
          <cell r="B67" t="str">
            <v>Direktør</v>
          </cell>
        </row>
        <row r="68">
          <cell r="B68" t="str">
            <v>Næringsphd</v>
          </cell>
        </row>
        <row r="69">
          <cell r="B69" t="str">
            <v>Tekn./Adm. 7 ikke ferieuttak</v>
          </cell>
        </row>
        <row r="70">
          <cell r="B70" t="str">
            <v>Tekn./Adm. 6 ikke ferieuttak</v>
          </cell>
        </row>
        <row r="71">
          <cell r="B71" t="str">
            <v>Tekn./Adm. 5 ikke ferieuttak</v>
          </cell>
        </row>
        <row r="72">
          <cell r="B72" t="str">
            <v>Tekn./Adm. 4 ikke ferieuttak</v>
          </cell>
        </row>
        <row r="73">
          <cell r="B73" t="str">
            <v>Tekn./Adm. 3 ikke ferieuttak</v>
          </cell>
        </row>
        <row r="74">
          <cell r="B74" t="str">
            <v>Tekn./Adm. 2 ikke ferieuttak</v>
          </cell>
        </row>
        <row r="75">
          <cell r="B75" t="str">
            <v>Tekn./Adm. 1 ikke ferieuttak</v>
          </cell>
        </row>
        <row r="76">
          <cell r="B76" t="str">
            <v>Forsker 7 ikke ferieuttak</v>
          </cell>
        </row>
        <row r="77">
          <cell r="B77" t="str">
            <v>Forsker 6 ikke ferieuttak</v>
          </cell>
        </row>
        <row r="78">
          <cell r="B78" t="str">
            <v>Forsker 5 ikke ferieuttak</v>
          </cell>
        </row>
        <row r="79">
          <cell r="B79" t="str">
            <v>Forsker 4 ikke ferieuttak</v>
          </cell>
        </row>
        <row r="80">
          <cell r="B80" t="str">
            <v>Forsker 3 ikke ferieuttak</v>
          </cell>
        </row>
        <row r="81">
          <cell r="B81" t="str">
            <v>Forsker 2 ikke ferieuttak</v>
          </cell>
        </row>
        <row r="82">
          <cell r="B82" t="str">
            <v>Forsker 1 ikke ferieuttak</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uhr.no/temasider/totalkostnadsmodell-tdi/" TargetMode="External"/><Relationship Id="rId1" Type="http://schemas.openxmlformats.org/officeDocument/2006/relationships/hyperlink" Target="mailto:kontakt@okavd.ntnu.no?subject=Budsjettmal%20NFR-bidragsprosjekt"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87"/>
  <sheetViews>
    <sheetView topLeftCell="A37" workbookViewId="0">
      <selection activeCell="I22" sqref="I22"/>
    </sheetView>
  </sheetViews>
  <sheetFormatPr defaultColWidth="11.42578125" defaultRowHeight="15" outlineLevelRow="1" x14ac:dyDescent="0.25"/>
  <cols>
    <col min="1" max="1" width="11.42578125" style="177" customWidth="1"/>
    <col min="2" max="16384" width="11.42578125" style="177"/>
  </cols>
  <sheetData>
    <row r="1" spans="1:15" ht="18.75" x14ac:dyDescent="0.3">
      <c r="A1" s="109" t="s">
        <v>388</v>
      </c>
    </row>
    <row r="2" spans="1:15" x14ac:dyDescent="0.25">
      <c r="A2" s="177" t="s">
        <v>424</v>
      </c>
    </row>
    <row r="3" spans="1:15" x14ac:dyDescent="0.25">
      <c r="A3" s="177" t="s">
        <v>399</v>
      </c>
    </row>
    <row r="4" spans="1:15" x14ac:dyDescent="0.25">
      <c r="A4" s="177" t="s">
        <v>389</v>
      </c>
    </row>
    <row r="5" spans="1:15" x14ac:dyDescent="0.25">
      <c r="A5" s="177" t="s">
        <v>390</v>
      </c>
    </row>
    <row r="6" spans="1:15" x14ac:dyDescent="0.25">
      <c r="A6" s="177" t="s">
        <v>391</v>
      </c>
    </row>
    <row r="7" spans="1:15" x14ac:dyDescent="0.25">
      <c r="A7" s="177" t="s">
        <v>425</v>
      </c>
    </row>
    <row r="8" spans="1:15" x14ac:dyDescent="0.25">
      <c r="A8" s="177" t="s">
        <v>380</v>
      </c>
      <c r="F8" s="245" t="s">
        <v>381</v>
      </c>
    </row>
    <row r="11" spans="1:15" ht="18.75" x14ac:dyDescent="0.3">
      <c r="A11" s="283" t="s">
        <v>445</v>
      </c>
      <c r="B11" s="110"/>
      <c r="C11" s="110"/>
      <c r="D11" s="110"/>
      <c r="E11" s="110"/>
      <c r="F11" s="110"/>
      <c r="G11" s="110"/>
      <c r="H11" s="110"/>
      <c r="I11" s="110"/>
      <c r="J11" s="110"/>
      <c r="K11" s="110"/>
      <c r="L11" s="110"/>
      <c r="M11" s="110"/>
      <c r="N11" s="110"/>
      <c r="O11" s="110"/>
    </row>
    <row r="12" spans="1:15" x14ac:dyDescent="0.25">
      <c r="A12" s="110" t="s">
        <v>446</v>
      </c>
      <c r="B12" s="110"/>
      <c r="C12" s="110"/>
      <c r="D12" s="110"/>
      <c r="E12" s="110"/>
      <c r="F12" s="110"/>
      <c r="G12" s="110"/>
      <c r="H12" s="110"/>
      <c r="I12" s="110"/>
      <c r="J12" s="110"/>
      <c r="K12" s="110"/>
      <c r="L12" s="110"/>
      <c r="M12" s="110"/>
      <c r="N12" s="110"/>
      <c r="O12" s="110"/>
    </row>
    <row r="13" spans="1:15" x14ac:dyDescent="0.25">
      <c r="A13" s="110" t="s">
        <v>447</v>
      </c>
      <c r="B13" s="110"/>
      <c r="C13" s="110"/>
      <c r="D13" s="110"/>
      <c r="E13" s="110"/>
      <c r="F13" s="110"/>
      <c r="G13" s="110"/>
      <c r="H13" s="110"/>
      <c r="I13" s="110"/>
      <c r="J13" s="110"/>
      <c r="K13" s="110"/>
      <c r="L13" s="110"/>
      <c r="M13" s="110"/>
      <c r="N13" s="110"/>
      <c r="O13" s="110"/>
    </row>
    <row r="14" spans="1:15" x14ac:dyDescent="0.25">
      <c r="A14" s="110" t="s">
        <v>448</v>
      </c>
      <c r="B14" s="110"/>
      <c r="C14" s="110"/>
      <c r="D14" s="110"/>
      <c r="E14" s="110"/>
      <c r="F14" s="110"/>
      <c r="G14" s="110"/>
      <c r="H14" s="110"/>
      <c r="I14" s="110"/>
      <c r="J14" s="110"/>
      <c r="K14" s="110"/>
      <c r="L14" s="110"/>
      <c r="M14" s="110"/>
      <c r="N14" s="110"/>
      <c r="O14" s="110"/>
    </row>
    <row r="15" spans="1:15" x14ac:dyDescent="0.25">
      <c r="A15" s="110" t="s">
        <v>449</v>
      </c>
      <c r="B15" s="110"/>
      <c r="C15" s="110"/>
      <c r="D15" s="110"/>
      <c r="E15" s="110"/>
      <c r="F15" s="110"/>
      <c r="G15" s="110"/>
      <c r="H15" s="110"/>
      <c r="I15" s="110"/>
      <c r="J15" s="110"/>
      <c r="K15" s="110"/>
      <c r="L15" s="110"/>
      <c r="M15" s="110"/>
      <c r="N15" s="110"/>
      <c r="O15" s="110"/>
    </row>
    <row r="16" spans="1:15" x14ac:dyDescent="0.25">
      <c r="A16" s="110" t="s">
        <v>450</v>
      </c>
      <c r="B16" s="110"/>
      <c r="C16" s="110"/>
      <c r="D16" s="110"/>
      <c r="E16" s="110"/>
      <c r="F16" s="110"/>
      <c r="G16" s="110"/>
      <c r="H16" s="110"/>
      <c r="I16" s="110"/>
      <c r="J16" s="110"/>
      <c r="K16" s="110"/>
      <c r="L16" s="110"/>
      <c r="M16" s="110"/>
      <c r="N16" s="110"/>
      <c r="O16" s="110"/>
    </row>
    <row r="17" spans="1:15" x14ac:dyDescent="0.25">
      <c r="A17" s="110"/>
      <c r="B17" s="110"/>
      <c r="C17" s="110"/>
      <c r="D17" s="110"/>
      <c r="E17" s="110"/>
      <c r="F17" s="110"/>
      <c r="G17" s="110"/>
      <c r="H17" s="110"/>
      <c r="I17" s="110"/>
      <c r="J17" s="110"/>
      <c r="K17" s="110"/>
      <c r="L17" s="110"/>
      <c r="M17" s="110"/>
      <c r="N17" s="110"/>
      <c r="O17" s="110"/>
    </row>
    <row r="18" spans="1:15" x14ac:dyDescent="0.25">
      <c r="A18" s="177" t="s">
        <v>453</v>
      </c>
      <c r="B18" s="110"/>
      <c r="C18" s="110"/>
      <c r="D18" s="110"/>
      <c r="E18" s="110"/>
      <c r="F18" s="110"/>
      <c r="G18" s="110"/>
      <c r="H18" s="110"/>
      <c r="I18" s="110"/>
      <c r="J18" s="110"/>
      <c r="K18" s="110"/>
      <c r="L18" s="110"/>
      <c r="M18" s="110"/>
      <c r="N18" s="110"/>
      <c r="O18" s="110"/>
    </row>
    <row r="19" spans="1:15" x14ac:dyDescent="0.25">
      <c r="A19" s="110"/>
      <c r="B19" s="110"/>
      <c r="C19" s="110"/>
      <c r="D19" s="110"/>
      <c r="E19" s="110"/>
      <c r="F19" s="110"/>
      <c r="G19" s="110"/>
      <c r="H19" s="110"/>
      <c r="I19" s="110"/>
      <c r="J19" s="110"/>
      <c r="K19" s="110"/>
      <c r="L19" s="110"/>
      <c r="M19" s="110"/>
      <c r="N19" s="110"/>
      <c r="O19" s="110"/>
    </row>
    <row r="20" spans="1:15" x14ac:dyDescent="0.25">
      <c r="A20" s="284" t="s">
        <v>451</v>
      </c>
      <c r="B20" s="110"/>
      <c r="C20" s="110"/>
      <c r="D20" s="110"/>
      <c r="E20" s="110"/>
      <c r="F20" s="110"/>
      <c r="G20" s="110"/>
      <c r="H20" s="110"/>
      <c r="I20" s="110"/>
      <c r="J20" s="110"/>
      <c r="K20" s="110"/>
      <c r="L20" s="110"/>
      <c r="M20" s="110"/>
      <c r="N20" s="110"/>
      <c r="O20" s="110"/>
    </row>
    <row r="21" spans="1:15" x14ac:dyDescent="0.25">
      <c r="A21" s="285" t="s">
        <v>452</v>
      </c>
      <c r="B21" s="110"/>
      <c r="C21" s="110"/>
      <c r="D21" s="110"/>
      <c r="E21" s="110"/>
      <c r="F21" s="110"/>
      <c r="G21" s="110"/>
      <c r="H21" s="110"/>
      <c r="I21" s="110"/>
      <c r="J21" s="110"/>
      <c r="K21" s="110"/>
      <c r="L21" s="110"/>
      <c r="M21" s="110"/>
      <c r="N21" s="110"/>
      <c r="O21" s="110"/>
    </row>
    <row r="24" spans="1:15" ht="18.75" x14ac:dyDescent="0.3">
      <c r="A24" s="109" t="s">
        <v>382</v>
      </c>
    </row>
    <row r="25" spans="1:15" x14ac:dyDescent="0.25">
      <c r="A25" s="246"/>
    </row>
    <row r="26" spans="1:15" ht="15.75" outlineLevel="1" x14ac:dyDescent="0.25">
      <c r="A26" s="266" t="s">
        <v>426</v>
      </c>
    </row>
    <row r="27" spans="1:15" outlineLevel="1" x14ac:dyDescent="0.25">
      <c r="A27" s="247" t="s">
        <v>427</v>
      </c>
    </row>
    <row r="28" spans="1:15" outlineLevel="1" x14ac:dyDescent="0.25">
      <c r="A28" s="247"/>
    </row>
    <row r="29" spans="1:15" outlineLevel="1" x14ac:dyDescent="0.25">
      <c r="A29" s="246" t="s">
        <v>428</v>
      </c>
    </row>
    <row r="30" spans="1:15" outlineLevel="1" x14ac:dyDescent="0.25">
      <c r="A30" s="247" t="s">
        <v>392</v>
      </c>
    </row>
    <row r="31" spans="1:15" outlineLevel="1" x14ac:dyDescent="0.25">
      <c r="A31" s="267" t="s">
        <v>430</v>
      </c>
      <c r="B31" s="269"/>
      <c r="C31" s="269"/>
      <c r="D31" s="269"/>
      <c r="E31" s="269"/>
      <c r="F31" s="269"/>
      <c r="G31" s="269"/>
      <c r="H31" s="269"/>
      <c r="I31" s="269"/>
      <c r="J31" s="269"/>
      <c r="K31" s="269"/>
      <c r="L31" s="269"/>
      <c r="M31" s="269"/>
      <c r="N31" s="269"/>
      <c r="O31" s="269"/>
    </row>
    <row r="32" spans="1:15" outlineLevel="1" x14ac:dyDescent="0.25">
      <c r="A32" s="247"/>
    </row>
    <row r="33" spans="1:1" outlineLevel="1" x14ac:dyDescent="0.25">
      <c r="A33" s="246" t="s">
        <v>393</v>
      </c>
    </row>
    <row r="34" spans="1:1" outlineLevel="1" x14ac:dyDescent="0.25">
      <c r="A34" s="177" t="s">
        <v>400</v>
      </c>
    </row>
    <row r="35" spans="1:1" outlineLevel="1" x14ac:dyDescent="0.25">
      <c r="A35" s="177" t="s">
        <v>396</v>
      </c>
    </row>
    <row r="36" spans="1:1" outlineLevel="1" x14ac:dyDescent="0.25">
      <c r="A36" s="177" t="s">
        <v>397</v>
      </c>
    </row>
    <row r="37" spans="1:1" outlineLevel="1" x14ac:dyDescent="0.25">
      <c r="A37" s="177" t="s">
        <v>401</v>
      </c>
    </row>
    <row r="38" spans="1:1" outlineLevel="1" x14ac:dyDescent="0.25">
      <c r="A38" s="177" t="s">
        <v>398</v>
      </c>
    </row>
    <row r="39" spans="1:1" outlineLevel="1" x14ac:dyDescent="0.25">
      <c r="A39" s="177" t="s">
        <v>402</v>
      </c>
    </row>
    <row r="40" spans="1:1" outlineLevel="1" x14ac:dyDescent="0.25">
      <c r="A40" s="177" t="s">
        <v>403</v>
      </c>
    </row>
    <row r="41" spans="1:1" outlineLevel="1" x14ac:dyDescent="0.25">
      <c r="A41" s="177" t="s">
        <v>404</v>
      </c>
    </row>
    <row r="42" spans="1:1" outlineLevel="1" x14ac:dyDescent="0.25">
      <c r="A42" s="186" t="s">
        <v>410</v>
      </c>
    </row>
    <row r="43" spans="1:1" outlineLevel="1" x14ac:dyDescent="0.25">
      <c r="A43" s="177" t="s">
        <v>405</v>
      </c>
    </row>
    <row r="44" spans="1:1" outlineLevel="1" x14ac:dyDescent="0.25"/>
    <row r="45" spans="1:1" outlineLevel="1" x14ac:dyDescent="0.25">
      <c r="A45" s="246" t="s">
        <v>394</v>
      </c>
    </row>
    <row r="46" spans="1:1" outlineLevel="1" x14ac:dyDescent="0.25">
      <c r="A46" s="177" t="s">
        <v>406</v>
      </c>
    </row>
    <row r="47" spans="1:1" outlineLevel="1" x14ac:dyDescent="0.25">
      <c r="A47" s="177" t="s">
        <v>396</v>
      </c>
    </row>
    <row r="48" spans="1:1" outlineLevel="1" x14ac:dyDescent="0.25">
      <c r="A48" s="177" t="s">
        <v>407</v>
      </c>
    </row>
    <row r="49" spans="1:14" outlineLevel="1" x14ac:dyDescent="0.25">
      <c r="A49" s="177" t="s">
        <v>408</v>
      </c>
    </row>
    <row r="50" spans="1:14" outlineLevel="1" x14ac:dyDescent="0.25">
      <c r="A50" s="177" t="s">
        <v>409</v>
      </c>
    </row>
    <row r="51" spans="1:14" outlineLevel="1" x14ac:dyDescent="0.25"/>
    <row r="52" spans="1:14" outlineLevel="1" x14ac:dyDescent="0.25">
      <c r="A52" s="246" t="s">
        <v>395</v>
      </c>
    </row>
    <row r="53" spans="1:14" outlineLevel="1" x14ac:dyDescent="0.25">
      <c r="A53" s="177" t="s">
        <v>383</v>
      </c>
    </row>
    <row r="54" spans="1:14" outlineLevel="1" x14ac:dyDescent="0.25">
      <c r="A54" s="177" t="s">
        <v>411</v>
      </c>
    </row>
    <row r="55" spans="1:14" outlineLevel="1" x14ac:dyDescent="0.25">
      <c r="A55" s="177" t="s">
        <v>384</v>
      </c>
    </row>
    <row r="56" spans="1:14" outlineLevel="1" x14ac:dyDescent="0.25">
      <c r="A56" s="177" t="s">
        <v>385</v>
      </c>
    </row>
    <row r="57" spans="1:14" ht="28.15" customHeight="1" outlineLevel="1" x14ac:dyDescent="0.25">
      <c r="A57" s="297" t="s">
        <v>436</v>
      </c>
      <c r="B57" s="297"/>
      <c r="C57" s="297"/>
      <c r="D57" s="297"/>
      <c r="E57" s="297"/>
      <c r="F57" s="297"/>
      <c r="G57" s="297"/>
      <c r="H57" s="297"/>
      <c r="I57" s="297"/>
      <c r="J57" s="297"/>
      <c r="K57" s="297"/>
      <c r="L57" s="297"/>
      <c r="M57" s="297"/>
      <c r="N57" s="297"/>
    </row>
    <row r="58" spans="1:14" outlineLevel="1" x14ac:dyDescent="0.25">
      <c r="A58" s="224" t="s">
        <v>412</v>
      </c>
    </row>
    <row r="59" spans="1:14" outlineLevel="1" x14ac:dyDescent="0.25"/>
    <row r="60" spans="1:14" outlineLevel="1" x14ac:dyDescent="0.25">
      <c r="A60" s="246" t="s">
        <v>413</v>
      </c>
    </row>
    <row r="61" spans="1:14" outlineLevel="1" x14ac:dyDescent="0.25">
      <c r="A61" s="177" t="s">
        <v>415</v>
      </c>
    </row>
    <row r="62" spans="1:14" outlineLevel="1" x14ac:dyDescent="0.25">
      <c r="A62" s="224" t="s">
        <v>416</v>
      </c>
    </row>
    <row r="63" spans="1:14" outlineLevel="1" x14ac:dyDescent="0.25">
      <c r="A63" s="224" t="s">
        <v>417</v>
      </c>
    </row>
    <row r="64" spans="1:14" outlineLevel="1" x14ac:dyDescent="0.25">
      <c r="A64" s="177" t="s">
        <v>418</v>
      </c>
    </row>
    <row r="65" spans="1:1" outlineLevel="1" x14ac:dyDescent="0.25">
      <c r="A65" s="110"/>
    </row>
    <row r="66" spans="1:1" outlineLevel="1" x14ac:dyDescent="0.25">
      <c r="A66" s="248" t="s">
        <v>414</v>
      </c>
    </row>
    <row r="67" spans="1:1" outlineLevel="1" x14ac:dyDescent="0.25">
      <c r="A67" s="177" t="s">
        <v>421</v>
      </c>
    </row>
    <row r="68" spans="1:1" outlineLevel="1" x14ac:dyDescent="0.25">
      <c r="A68" s="177" t="s">
        <v>435</v>
      </c>
    </row>
    <row r="69" spans="1:1" outlineLevel="1" x14ac:dyDescent="0.25">
      <c r="A69" s="110" t="s">
        <v>422</v>
      </c>
    </row>
    <row r="70" spans="1:1" outlineLevel="1" x14ac:dyDescent="0.25">
      <c r="A70" s="110"/>
    </row>
    <row r="71" spans="1:1" outlineLevel="1" x14ac:dyDescent="0.25">
      <c r="A71" s="248"/>
    </row>
    <row r="74" spans="1:1" ht="18.75" x14ac:dyDescent="0.3">
      <c r="A74" s="109" t="s">
        <v>386</v>
      </c>
    </row>
    <row r="75" spans="1:1" outlineLevel="1" x14ac:dyDescent="0.25">
      <c r="A75" s="177" t="s">
        <v>387</v>
      </c>
    </row>
    <row r="76" spans="1:1" outlineLevel="1" x14ac:dyDescent="0.25">
      <c r="A76" s="249" t="s">
        <v>423</v>
      </c>
    </row>
    <row r="77" spans="1:1" outlineLevel="1" x14ac:dyDescent="0.25">
      <c r="A77" s="249" t="s">
        <v>431</v>
      </c>
    </row>
    <row r="78" spans="1:1" outlineLevel="1" x14ac:dyDescent="0.25">
      <c r="A78" s="177" t="s">
        <v>438</v>
      </c>
    </row>
    <row r="79" spans="1:1" outlineLevel="1" x14ac:dyDescent="0.25">
      <c r="A79" s="177" t="s">
        <v>440</v>
      </c>
    </row>
    <row r="80" spans="1:1" outlineLevel="1" x14ac:dyDescent="0.25">
      <c r="A80" s="249" t="s">
        <v>441</v>
      </c>
    </row>
    <row r="81" spans="1:1" outlineLevel="1" x14ac:dyDescent="0.25">
      <c r="A81" s="249" t="s">
        <v>442</v>
      </c>
    </row>
    <row r="82" spans="1:1" outlineLevel="1" x14ac:dyDescent="0.25">
      <c r="A82" s="249" t="s">
        <v>444</v>
      </c>
    </row>
    <row r="83" spans="1:1" outlineLevel="1" x14ac:dyDescent="0.25">
      <c r="A83" s="249"/>
    </row>
    <row r="84" spans="1:1" outlineLevel="1" x14ac:dyDescent="0.25">
      <c r="A84" s="249"/>
    </row>
    <row r="85" spans="1:1" outlineLevel="1" x14ac:dyDescent="0.25">
      <c r="A85" s="249"/>
    </row>
    <row r="86" spans="1:1" outlineLevel="1" x14ac:dyDescent="0.25">
      <c r="A86" s="249"/>
    </row>
    <row r="87" spans="1:1" outlineLevel="1" x14ac:dyDescent="0.25">
      <c r="A87" s="249"/>
    </row>
  </sheetData>
  <mergeCells count="1">
    <mergeCell ref="A57:N57"/>
  </mergeCells>
  <hyperlinks>
    <hyperlink ref="F8" r:id="rId1" xr:uid="{00000000-0004-0000-0000-000000000000}"/>
    <hyperlink ref="A21" r:id="rId2" xr:uid="{ECC76CAF-D2E1-4942-998B-DEEE31174340}"/>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Ark4"/>
  <dimension ref="A1:AC81"/>
  <sheetViews>
    <sheetView zoomScale="70" zoomScaleNormal="70" workbookViewId="0">
      <selection activeCell="D8" sqref="D8"/>
    </sheetView>
  </sheetViews>
  <sheetFormatPr defaultColWidth="11.42578125" defaultRowHeight="15" outlineLevelRow="1" x14ac:dyDescent="0.25"/>
  <cols>
    <col min="1" max="1" width="14" customWidth="1"/>
    <col min="2" max="2" width="23.85546875" customWidth="1"/>
    <col min="3" max="3" width="15" customWidth="1"/>
    <col min="4" max="4" width="16.42578125" customWidth="1"/>
    <col min="5" max="5" width="14.42578125" customWidth="1"/>
    <col min="6" max="6" width="11" customWidth="1"/>
    <col min="7" max="7" width="13" customWidth="1"/>
    <col min="8" max="8" width="12.7109375" customWidth="1"/>
    <col min="9" max="9" width="11.85546875" customWidth="1"/>
    <col min="10" max="10" width="13.5703125" customWidth="1"/>
    <col min="11" max="11" width="12.5703125" customWidth="1"/>
    <col min="12" max="12" width="10.42578125" customWidth="1"/>
    <col min="13" max="13" width="10.85546875" customWidth="1"/>
    <col min="14" max="14" width="11.42578125" customWidth="1"/>
    <col min="15" max="15" width="12.7109375" customWidth="1"/>
    <col min="16" max="16" width="2.7109375" style="177" customWidth="1"/>
    <col min="17" max="17" width="36.7109375" style="177" customWidth="1"/>
    <col min="18" max="18" width="10.85546875" style="177" customWidth="1"/>
    <col min="19" max="22" width="12.140625" style="177" customWidth="1"/>
    <col min="23" max="24" width="15.28515625" hidden="1" customWidth="1"/>
    <col min="25" max="25" width="11.42578125" hidden="1" customWidth="1"/>
    <col min="26" max="26" width="11.42578125" customWidth="1"/>
    <col min="27" max="27" width="12.85546875" customWidth="1"/>
    <col min="28" max="29" width="15.28515625" customWidth="1"/>
    <col min="30" max="30" width="11.42578125" customWidth="1"/>
    <col min="31" max="31" width="12.85546875" customWidth="1"/>
    <col min="32" max="33" width="15.28515625" customWidth="1"/>
    <col min="34" max="34" width="11.42578125" customWidth="1"/>
    <col min="35" max="35" width="12.85546875" customWidth="1"/>
    <col min="36" max="37" width="15.28515625" customWidth="1"/>
  </cols>
  <sheetData>
    <row r="1" spans="1:24" ht="23.25" x14ac:dyDescent="0.35">
      <c r="A1" s="74" t="s">
        <v>347</v>
      </c>
      <c r="B1" s="75"/>
      <c r="C1" s="75"/>
      <c r="D1" s="299"/>
      <c r="E1" s="299"/>
      <c r="G1" s="76" t="s">
        <v>376</v>
      </c>
      <c r="H1" s="76"/>
      <c r="I1" s="75"/>
      <c r="J1" s="75"/>
      <c r="K1" s="298"/>
      <c r="L1" s="298"/>
      <c r="O1" s="177"/>
      <c r="P1" s="223"/>
      <c r="V1"/>
      <c r="W1" s="110"/>
    </row>
    <row r="2" spans="1:24" ht="21" x14ac:dyDescent="0.35">
      <c r="A2" s="76" t="s">
        <v>348</v>
      </c>
      <c r="B2" s="76"/>
      <c r="C2" s="75"/>
      <c r="D2" s="299"/>
      <c r="E2" s="299"/>
      <c r="O2" s="177"/>
      <c r="V2"/>
    </row>
    <row r="3" spans="1:24" ht="21" x14ac:dyDescent="0.35">
      <c r="A3" s="76" t="s">
        <v>318</v>
      </c>
      <c r="B3" s="76"/>
      <c r="C3" s="75"/>
      <c r="D3" s="235"/>
      <c r="E3" s="229" t="str">
        <f t="shared" ref="E3:E4" si="0">IF(D3="","Må fylles ut","")</f>
        <v>Må fylles ut</v>
      </c>
      <c r="G3" s="76" t="s">
        <v>323</v>
      </c>
      <c r="H3" s="76"/>
      <c r="I3" s="75"/>
      <c r="J3" s="75"/>
      <c r="K3" s="236"/>
      <c r="L3" s="225" t="str">
        <f>IF($D$6="Videreutdanning",IF(K3&lt;1,"Må fylles ut",""),"")</f>
        <v/>
      </c>
      <c r="M3" s="226"/>
      <c r="N3" s="218" t="str">
        <f>IF(E6="Etterutdanning","Etterutdanning MÅ være økonomisk aktivitet","")</f>
        <v/>
      </c>
    </row>
    <row r="4" spans="1:24" ht="21" x14ac:dyDescent="0.35">
      <c r="A4" s="76" t="s">
        <v>108</v>
      </c>
      <c r="B4" s="76"/>
      <c r="C4" s="75"/>
      <c r="D4" s="235"/>
      <c r="E4" s="229" t="str">
        <f t="shared" si="0"/>
        <v>Må fylles ut</v>
      </c>
      <c r="G4" s="76" t="s">
        <v>368</v>
      </c>
      <c r="H4" s="76"/>
      <c r="I4" s="75"/>
      <c r="J4" s="75"/>
      <c r="K4" s="236"/>
      <c r="L4" s="225" t="str">
        <f>IF($D$6="Etterutdanning",IF(K4&lt;1,"Må fylles ut",""),"")</f>
        <v/>
      </c>
    </row>
    <row r="5" spans="1:24" s="177" customFormat="1" ht="21" x14ac:dyDescent="0.35">
      <c r="A5" s="227"/>
      <c r="B5" s="227"/>
      <c r="C5" s="110"/>
      <c r="D5" s="228"/>
      <c r="E5" s="110"/>
    </row>
    <row r="6" spans="1:24" s="177" customFormat="1" ht="18.75" customHeight="1" x14ac:dyDescent="0.35">
      <c r="A6" s="74" t="s">
        <v>320</v>
      </c>
      <c r="B6" s="75"/>
      <c r="C6" s="75"/>
      <c r="D6" s="236"/>
      <c r="E6" s="229" t="str">
        <f>IF(D6="","Må fylles ut","")</f>
        <v>Må fylles ut</v>
      </c>
      <c r="G6" s="76" t="s">
        <v>319</v>
      </c>
      <c r="H6" s="76"/>
      <c r="I6" s="75"/>
      <c r="J6" s="75"/>
      <c r="K6" s="236"/>
      <c r="L6" s="225" t="str">
        <f>IF($D$6="Videreutdanning","Beregnet i simuleringsverktøy (Beregningsmodell EVU)","")</f>
        <v/>
      </c>
    </row>
    <row r="7" spans="1:24" ht="21" x14ac:dyDescent="0.35">
      <c r="A7" s="227"/>
      <c r="B7" s="227"/>
      <c r="C7" s="110"/>
      <c r="D7" s="227"/>
      <c r="E7" s="110"/>
      <c r="O7" s="177"/>
      <c r="V7"/>
    </row>
    <row r="8" spans="1:24" ht="21.75" thickBot="1" x14ac:dyDescent="0.4">
      <c r="A8" s="76" t="s">
        <v>311</v>
      </c>
      <c r="B8" s="76"/>
      <c r="C8" s="75"/>
      <c r="D8" s="236"/>
      <c r="E8" s="229" t="str">
        <f>IF(D8&lt;1,"Må fylles ut","")</f>
        <v>Må fylles ut</v>
      </c>
      <c r="G8" s="76" t="str">
        <f>IF(E6="Etterutdanning","","KDs finansieringskategori")</f>
        <v>KDs finansieringskategori</v>
      </c>
      <c r="H8" s="76"/>
      <c r="I8" s="75"/>
      <c r="J8" s="75"/>
      <c r="K8" s="236"/>
      <c r="L8" s="225" t="str">
        <f>IF($D$6="Videreutdanning","Hentes fra simuleringsverktøy","")</f>
        <v/>
      </c>
      <c r="M8" s="270"/>
      <c r="N8" s="270"/>
      <c r="O8" s="177"/>
      <c r="V8"/>
    </row>
    <row r="9" spans="1:24" s="177" customFormat="1" ht="21" x14ac:dyDescent="0.35">
      <c r="G9" s="76" t="str">
        <f>IF(E6="Etterutdanning","","Unntak i egenbetalingsforskriften")</f>
        <v>Unntak i egenbetalingsforskriften</v>
      </c>
      <c r="H9" s="76"/>
      <c r="I9" s="75"/>
      <c r="J9" s="75"/>
      <c r="K9" s="236"/>
      <c r="L9" s="225" t="str">
        <f>IF($D$6="Videreutdanning","Hentes fra simuleringsverktøy","")</f>
        <v/>
      </c>
      <c r="M9" s="270"/>
      <c r="N9" s="270"/>
      <c r="Q9" s="189" t="s">
        <v>312</v>
      </c>
      <c r="R9" s="179"/>
      <c r="S9" s="179"/>
      <c r="T9" s="179"/>
      <c r="U9" s="180"/>
    </row>
    <row r="10" spans="1:24" s="177" customFormat="1" x14ac:dyDescent="0.25">
      <c r="F10" s="226"/>
      <c r="Q10" s="190"/>
      <c r="R10" s="20">
        <f>G12</f>
        <v>1900</v>
      </c>
      <c r="S10" s="20">
        <f>I12</f>
        <v>1901</v>
      </c>
      <c r="T10" s="20">
        <f>K12</f>
        <v>1902</v>
      </c>
      <c r="U10" s="22" t="s">
        <v>79</v>
      </c>
    </row>
    <row r="11" spans="1:24" ht="14.25" customHeight="1" thickBot="1" x14ac:dyDescent="0.3">
      <c r="C11" s="177"/>
      <c r="G11" s="38"/>
      <c r="H11" s="38"/>
      <c r="I11" s="38"/>
      <c r="J11" s="38"/>
      <c r="K11" s="38"/>
      <c r="L11" s="38"/>
      <c r="M11" s="38"/>
      <c r="N11" s="38"/>
      <c r="P11"/>
      <c r="Q11" s="19" t="s">
        <v>337</v>
      </c>
      <c r="R11" s="23">
        <f>(SUMIF($C$14:$C$23,"Timefør.",H14:H23))/1.4</f>
        <v>0</v>
      </c>
      <c r="S11" s="23">
        <f>(SUMIF($C$14:$C$23,"Timefør.",J14:J23))/1.4</f>
        <v>0</v>
      </c>
      <c r="T11" s="23">
        <f>(SUMIF($C$14:$C$23,"Timefør.",L14:L23))/1.4</f>
        <v>0</v>
      </c>
      <c r="U11" s="25">
        <f t="shared" ref="U11:U16" si="1">SUM(R11:T11)</f>
        <v>0</v>
      </c>
      <c r="W11" s="177"/>
    </row>
    <row r="12" spans="1:24" ht="18.75" x14ac:dyDescent="0.3">
      <c r="A12" s="109" t="s">
        <v>456</v>
      </c>
      <c r="C12" s="177"/>
      <c r="F12" s="36"/>
      <c r="G12" s="302">
        <f>YEAR(D3)</f>
        <v>1900</v>
      </c>
      <c r="H12" s="303"/>
      <c r="I12" s="302">
        <f>G12+1</f>
        <v>1901</v>
      </c>
      <c r="J12" s="303"/>
      <c r="K12" s="302">
        <f>I12+1</f>
        <v>1902</v>
      </c>
      <c r="L12" s="303"/>
      <c r="M12" s="312" t="s">
        <v>322</v>
      </c>
      <c r="N12" s="313"/>
      <c r="Q12" s="19" t="s">
        <v>338</v>
      </c>
      <c r="R12" s="23">
        <f>(SUMIF($C$14:$C$23,"Ompost.",H14:H23))/1.4</f>
        <v>0</v>
      </c>
      <c r="S12" s="23">
        <f>(SUMIF($C$14:$C$23,"Ompost.",J14:J23))/1.4</f>
        <v>0</v>
      </c>
      <c r="T12" s="23">
        <f>(SUMIF($C$14:$C$23,"Ompost.",L14:L23))/1.4</f>
        <v>0</v>
      </c>
      <c r="U12" s="25">
        <f t="shared" si="1"/>
        <v>0</v>
      </c>
      <c r="V12" s="215"/>
    </row>
    <row r="13" spans="1:24" ht="45" customHeight="1" x14ac:dyDescent="0.25">
      <c r="A13" s="16" t="s">
        <v>93</v>
      </c>
      <c r="B13" s="16" t="s">
        <v>310</v>
      </c>
      <c r="C13" s="16" t="s">
        <v>457</v>
      </c>
      <c r="D13" s="16" t="s">
        <v>276</v>
      </c>
      <c r="E13" s="16" t="s">
        <v>115</v>
      </c>
      <c r="F13" s="207" t="s">
        <v>132</v>
      </c>
      <c r="G13" s="206" t="s">
        <v>458</v>
      </c>
      <c r="H13" s="202" t="s">
        <v>91</v>
      </c>
      <c r="I13" s="206" t="s">
        <v>458</v>
      </c>
      <c r="J13" s="202" t="s">
        <v>91</v>
      </c>
      <c r="K13" s="206" t="s">
        <v>458</v>
      </c>
      <c r="L13" s="202" t="s">
        <v>91</v>
      </c>
      <c r="M13" s="206" t="s">
        <v>131</v>
      </c>
      <c r="N13" s="202" t="s">
        <v>336</v>
      </c>
      <c r="Q13" s="19" t="s">
        <v>355</v>
      </c>
      <c r="R13" s="23">
        <f>(SUMIF($B$29:$B$36,"NTNU-ansatt",D$29:D$36))/1.4</f>
        <v>0</v>
      </c>
      <c r="S13" s="23">
        <f>(SUMIF($B$29:$B$36,"NTNU-ansatt",F$29:F$36))/1.4</f>
        <v>0</v>
      </c>
      <c r="T13" s="23">
        <f>(SUMIF($B$29:$B$36,"NTNU-ansatt",H$29:H$36))/1.4</f>
        <v>0</v>
      </c>
      <c r="U13" s="25">
        <f t="shared" si="1"/>
        <v>0</v>
      </c>
      <c r="V13" s="188"/>
      <c r="W13" s="159" t="s">
        <v>281</v>
      </c>
      <c r="X13" s="159" t="s">
        <v>282</v>
      </c>
    </row>
    <row r="14" spans="1:24" x14ac:dyDescent="0.25">
      <c r="A14" s="268" t="s">
        <v>94</v>
      </c>
      <c r="B14" s="268"/>
      <c r="C14" s="268"/>
      <c r="D14" s="17">
        <f>IF(E14&gt;0,VLOOKUP(E14,Oppslag!$S$14:$W$27,5,FALSE),0)</f>
        <v>0</v>
      </c>
      <c r="E14" s="250"/>
      <c r="F14" s="208">
        <f>IF(E14&gt;0,VLOOKUP(E14,Oppslag!$S$14:$V$27,2,FALSE),0)</f>
        <v>0</v>
      </c>
      <c r="G14" s="250"/>
      <c r="H14" s="209">
        <f>IF($C14="Timefør.",($F14*G14)*1.4*VLOOKUP(G$12,Oppslag!$AT$4:$AV$33,2,FALSE),G14*(1+Oppslag!$N$105)*1.4)</f>
        <v>0</v>
      </c>
      <c r="I14" s="250"/>
      <c r="J14" s="209">
        <f>IF($C14="Timefør.",($F14*I14)*1.4*VLOOKUP(I$12,Oppslag!$AT$4:$AV$33,2,FALSE),I14*(1+Oppslag!$N$105)*1.4)</f>
        <v>0</v>
      </c>
      <c r="K14" s="250"/>
      <c r="L14" s="209">
        <f>IF($C14="Timefør.",($F14*K14)*1.4*VLOOKUP(K$12,Oppslag!$AT$4:$AV$33,2,FALSE),K14*(1+Oppslag!$N$105)*1.4)</f>
        <v>0</v>
      </c>
      <c r="M14" s="210">
        <f>IF($C14="Timefør.",G14+I14+K14,0)</f>
        <v>0</v>
      </c>
      <c r="N14" s="209">
        <f>H14+J14+L14</f>
        <v>0</v>
      </c>
      <c r="Q14" s="19" t="s">
        <v>339</v>
      </c>
      <c r="R14" s="23">
        <f>(SUMIF($B$29:$B$36,"Ekstern",D$29:D$36))/1.4</f>
        <v>0</v>
      </c>
      <c r="S14" s="23">
        <f>(SUMIF($B$29:$B$36,"Ekstern",F$29:F$36))/1.4</f>
        <v>0</v>
      </c>
      <c r="T14" s="23">
        <f>(SUMIF($B$29:$B$36,"Ekstern",H$29:H$36))/1.4</f>
        <v>0</v>
      </c>
      <c r="U14" s="25">
        <f t="shared" si="1"/>
        <v>0</v>
      </c>
      <c r="V14" s="29"/>
      <c r="W14" s="118">
        <f>IF(C14="Timefør.",F14*1.4,0)</f>
        <v>0</v>
      </c>
      <c r="X14">
        <f>IF($M$24=0,0,IF(W14&gt;0,IF($G$24&gt;0,W14*(G14/$G$24),W14*(I14/$I$24)),0))</f>
        <v>0</v>
      </c>
    </row>
    <row r="15" spans="1:24" x14ac:dyDescent="0.25">
      <c r="A15" s="268" t="s">
        <v>95</v>
      </c>
      <c r="B15" s="268"/>
      <c r="C15" s="268"/>
      <c r="D15" s="17">
        <f>IF(E15&gt;0,VLOOKUP(E15,Oppslag!$S$14:$W$27,5,FALSE),0)</f>
        <v>0</v>
      </c>
      <c r="E15" s="250">
        <f>IF(B15&lt;&gt;0,IF(C15="Timefør.",VLOOKUP(B15,Oppslag!B:F,5,FALSE),0),0)</f>
        <v>0</v>
      </c>
      <c r="F15" s="208">
        <f>IF(E15&gt;0,VLOOKUP(E15,Oppslag!$S$14:$V$27,2,FALSE),0)</f>
        <v>0</v>
      </c>
      <c r="G15" s="250"/>
      <c r="H15" s="209">
        <f>IF($C15="Timefør.",($F15*G15)*1.4*VLOOKUP(G$12,Oppslag!$AT$4:$AV$33,2,FALSE),G15*(1+Oppslag!$N$105)*1.4)</f>
        <v>0</v>
      </c>
      <c r="I15" s="250"/>
      <c r="J15" s="209">
        <f>IF($C15="Timefør.",($F15*I15)*1.4*VLOOKUP(I$12,Oppslag!$AT$4:$AV$33,2,FALSE),I15*(1+Oppslag!$N$105)*1.4)</f>
        <v>0</v>
      </c>
      <c r="K15" s="250"/>
      <c r="L15" s="209">
        <f>IF($C15="Timefør.",($F15*K15)*1.4*VLOOKUP(K$12,Oppslag!$AT$4:$AV$33,2,FALSE),K15*(1+Oppslag!$N$105)*1.4)</f>
        <v>0</v>
      </c>
      <c r="M15" s="210">
        <f t="shared" ref="M15:M23" si="2">IF($C15="Timefør.",G15+I15+K15,0)</f>
        <v>0</v>
      </c>
      <c r="N15" s="209">
        <f t="shared" ref="N15:N23" si="3">H15+J15+L15</f>
        <v>0</v>
      </c>
      <c r="Q15" s="19" t="s">
        <v>307</v>
      </c>
      <c r="R15" s="23">
        <f>(SUM(H14:H23)+SUM(D29:D36)-SUM(R11:R14))</f>
        <v>0</v>
      </c>
      <c r="S15" s="23">
        <f>(SUM(J14:J23)+SUM(F29:F36)-SUM(S11:S14))</f>
        <v>0</v>
      </c>
      <c r="T15" s="23">
        <f>(SUM(L14:L23)+SUM(H29:H36)-SUM(T11:T14))</f>
        <v>0</v>
      </c>
      <c r="U15" s="25">
        <f t="shared" si="1"/>
        <v>0</v>
      </c>
      <c r="V15" s="29"/>
      <c r="W15" s="118">
        <f t="shared" ref="W15:W23" si="4">IF(C15="Timefør.",F15*1.4,0)</f>
        <v>0</v>
      </c>
      <c r="X15" s="177">
        <f t="shared" ref="X15:X23" si="5">IF($M$24=0,0,IF(W15&gt;0,IF($G$24&gt;0,W15*(G15/$G$24),W15*(I15/$I$24)),0))</f>
        <v>0</v>
      </c>
    </row>
    <row r="16" spans="1:24" ht="15.75" thickBot="1" x14ac:dyDescent="0.3">
      <c r="A16" s="268" t="s">
        <v>96</v>
      </c>
      <c r="B16" s="268"/>
      <c r="C16" s="268"/>
      <c r="D16" s="17">
        <f>IF(E16&gt;0,VLOOKUP(E16,Oppslag!$S$14:$W$27,5,FALSE),0)</f>
        <v>0</v>
      </c>
      <c r="E16" s="250">
        <f>IF(B16&lt;&gt;0,IF(C16="Timefør.",VLOOKUP(B16,Oppslag!B:F,5,FALSE),0),0)</f>
        <v>0</v>
      </c>
      <c r="F16" s="208">
        <f>IF(E16&gt;0,VLOOKUP(E16,Oppslag!$S$14:$V$27,2,FALSE),0)</f>
        <v>0</v>
      </c>
      <c r="G16" s="250"/>
      <c r="H16" s="209">
        <f>IF($C16="Timefør.",($F16*G16)*1.4*VLOOKUP(G$12,Oppslag!$AT$4:$AV$33,2,FALSE),G16*(1+Oppslag!$N$105)*1.4)</f>
        <v>0</v>
      </c>
      <c r="I16" s="250"/>
      <c r="J16" s="209">
        <f>IF($C16="Timefør.",($F16*I16)*1.4*VLOOKUP(I$12,Oppslag!$AT$4:$AV$33,2,FALSE),I16*(1+Oppslag!$N$105)*1.4)</f>
        <v>0</v>
      </c>
      <c r="K16" s="250"/>
      <c r="L16" s="209">
        <f>IF($C16="Timefør.",($F16*K16)*1.4*VLOOKUP(K$12,Oppslag!$AT$4:$AV$33,2,FALSE),K16*(1+Oppslag!$N$105)*1.4)</f>
        <v>0</v>
      </c>
      <c r="M16" s="210">
        <f t="shared" si="2"/>
        <v>0</v>
      </c>
      <c r="N16" s="209">
        <f t="shared" si="3"/>
        <v>0</v>
      </c>
      <c r="P16" s="36"/>
      <c r="Q16" s="21" t="s">
        <v>114</v>
      </c>
      <c r="R16" s="24">
        <f>SUM(R11:R15)</f>
        <v>0</v>
      </c>
      <c r="S16" s="24">
        <f>SUM(S11:S15)</f>
        <v>0</v>
      </c>
      <c r="T16" s="24">
        <f>SUM(T11:T15)</f>
        <v>0</v>
      </c>
      <c r="U16" s="26">
        <f t="shared" si="1"/>
        <v>0</v>
      </c>
      <c r="V16" s="29"/>
      <c r="W16" s="118">
        <f t="shared" si="4"/>
        <v>0</v>
      </c>
      <c r="X16" s="177">
        <f t="shared" si="5"/>
        <v>0</v>
      </c>
    </row>
    <row r="17" spans="1:25" x14ac:dyDescent="0.25">
      <c r="A17" s="268" t="s">
        <v>97</v>
      </c>
      <c r="B17" s="268"/>
      <c r="C17" s="268"/>
      <c r="D17" s="17">
        <f>IF(E17&gt;0,VLOOKUP(E17,Oppslag!$S$14:$W$27,5,FALSE),0)</f>
        <v>0</v>
      </c>
      <c r="E17" s="250">
        <f>IF(B17&lt;&gt;0,IF(C17="Timefør.",VLOOKUP(B17,Oppslag!B:F,5,FALSE),0),0)</f>
        <v>0</v>
      </c>
      <c r="F17" s="208">
        <f>IF(E17&gt;0,VLOOKUP(E17,Oppslag!$S$14:$V$27,2,FALSE),0)</f>
        <v>0</v>
      </c>
      <c r="G17" s="250"/>
      <c r="H17" s="209">
        <f>IF($C17="Timefør.",($F17*G17)*1.4*VLOOKUP(G$12,Oppslag!$AT$4:$AV$33,2,FALSE),G17*(1+Oppslag!$N$105)*1.4)</f>
        <v>0</v>
      </c>
      <c r="I17" s="250"/>
      <c r="J17" s="209">
        <f>IF($C17="Timefør.",($F17*I17)*1.4*VLOOKUP(I$12,Oppslag!$AT$4:$AV$33,2,FALSE),I17*(1+Oppslag!$N$105)*1.4)</f>
        <v>0</v>
      </c>
      <c r="K17" s="250"/>
      <c r="L17" s="209">
        <f>IF($C17="Timefør.",($F17*K17)*1.4*VLOOKUP(K$12,Oppslag!$AT$4:$AV$33,2,FALSE),K17*(1+Oppslag!$N$105)*1.4)</f>
        <v>0</v>
      </c>
      <c r="M17" s="210">
        <f t="shared" si="2"/>
        <v>0</v>
      </c>
      <c r="N17" s="209">
        <f t="shared" si="3"/>
        <v>0</v>
      </c>
      <c r="P17" s="1"/>
      <c r="Q17" s="40"/>
      <c r="V17" s="29"/>
      <c r="W17" s="118">
        <f t="shared" si="4"/>
        <v>0</v>
      </c>
      <c r="X17" s="177">
        <f t="shared" si="5"/>
        <v>0</v>
      </c>
    </row>
    <row r="18" spans="1:25" hidden="1" outlineLevel="1" x14ac:dyDescent="0.25">
      <c r="A18" s="268" t="s">
        <v>98</v>
      </c>
      <c r="B18" s="268"/>
      <c r="C18" s="268"/>
      <c r="D18" s="17">
        <f>IF(E18&gt;0,VLOOKUP(E18,Oppslag!$S$14:$W$27,5,FALSE),0)</f>
        <v>0</v>
      </c>
      <c r="E18" s="250">
        <f>IF(B18&lt;&gt;0,IF(C18="Timefør.",VLOOKUP(B18,Oppslag!B:F,5,FALSE),0),0)</f>
        <v>0</v>
      </c>
      <c r="F18" s="208">
        <f>IF(E18&gt;0,VLOOKUP(E18,Oppslag!$S$14:$V$27,2,FALSE),0)</f>
        <v>0</v>
      </c>
      <c r="G18" s="250"/>
      <c r="H18" s="209">
        <f>IF($C18="Timefør.",($F18*G18)*1.4*VLOOKUP(G$12,Oppslag!$AT$4:$AV$33,2,FALSE),G18*(1+Oppslag!$N$105)*1.4)</f>
        <v>0</v>
      </c>
      <c r="I18" s="250"/>
      <c r="J18" s="209">
        <f>IF($C18="Timefør.",($F18*I18)*1.4*VLOOKUP(I$12,Oppslag!$AT$4:$AV$33,2,FALSE),I18*(1+Oppslag!$N$105)*1.4)</f>
        <v>0</v>
      </c>
      <c r="K18" s="250"/>
      <c r="L18" s="209">
        <f>IF($C18="Timefør.",($F18*K18)*1.4*VLOOKUP(K$12,Oppslag!$AT$4:$AV$33,2,FALSE),K18*(1+Oppslag!$N$105)*1.4)</f>
        <v>0</v>
      </c>
      <c r="M18" s="210">
        <f t="shared" si="2"/>
        <v>0</v>
      </c>
      <c r="N18" s="209">
        <f t="shared" si="3"/>
        <v>0</v>
      </c>
      <c r="W18" s="118">
        <f t="shared" si="4"/>
        <v>0</v>
      </c>
      <c r="X18" s="177">
        <f t="shared" si="5"/>
        <v>0</v>
      </c>
    </row>
    <row r="19" spans="1:25" hidden="1" outlineLevel="1" x14ac:dyDescent="0.25">
      <c r="A19" s="268" t="s">
        <v>99</v>
      </c>
      <c r="B19" s="268"/>
      <c r="C19" s="268"/>
      <c r="D19" s="17">
        <f>IF(E19&gt;0,VLOOKUP(E19,Oppslag!$S$14:$W$27,5,FALSE),0)</f>
        <v>0</v>
      </c>
      <c r="E19" s="250">
        <f>IF(B19&lt;&gt;0,IF(C19="Timefør.",VLOOKUP(B19,Oppslag!B:F,5,FALSE),0),0)</f>
        <v>0</v>
      </c>
      <c r="F19" s="208">
        <f>IF(E19&gt;0,VLOOKUP(E19,Oppslag!$S$14:$V$27,2,FALSE),0)</f>
        <v>0</v>
      </c>
      <c r="G19" s="250"/>
      <c r="H19" s="209">
        <f>IF($C19="Timefør.",($F19*G19)*1.4*VLOOKUP(G$12,Oppslag!$AT$4:$AV$33,2,FALSE),G19*(1+Oppslag!$N$105)*1.4)</f>
        <v>0</v>
      </c>
      <c r="I19" s="250"/>
      <c r="J19" s="209">
        <f>IF($C19="Timefør.",($F19*I19)*1.4*VLOOKUP(I$12,Oppslag!$AT$4:$AV$33,2,FALSE),I19*(1+Oppslag!$N$105)*1.4)</f>
        <v>0</v>
      </c>
      <c r="K19" s="250"/>
      <c r="L19" s="209">
        <f>IF($C19="Timefør.",($F19*K19)*1.4*VLOOKUP(K$12,Oppslag!$AT$4:$AV$33,2,FALSE),K19*(1+Oppslag!$N$105)*1.4)</f>
        <v>0</v>
      </c>
      <c r="M19" s="210">
        <f t="shared" si="2"/>
        <v>0</v>
      </c>
      <c r="N19" s="209">
        <f t="shared" si="3"/>
        <v>0</v>
      </c>
      <c r="R19" s="185"/>
      <c r="S19" s="118"/>
      <c r="W19" s="118">
        <f t="shared" si="4"/>
        <v>0</v>
      </c>
      <c r="X19" s="177">
        <f t="shared" si="5"/>
        <v>0</v>
      </c>
    </row>
    <row r="20" spans="1:25" hidden="1" outlineLevel="1" x14ac:dyDescent="0.25">
      <c r="A20" s="268" t="s">
        <v>100</v>
      </c>
      <c r="B20" s="268"/>
      <c r="C20" s="268"/>
      <c r="D20" s="17">
        <f>IF(E20&gt;0,VLOOKUP(E20,Oppslag!$S$14:$W$27,5,FALSE),0)</f>
        <v>0</v>
      </c>
      <c r="E20" s="250">
        <f>IF(B20&lt;&gt;0,IF(C20="Timefør.",VLOOKUP(B20,Oppslag!B:F,5,FALSE),0),0)</f>
        <v>0</v>
      </c>
      <c r="F20" s="208">
        <f>IF(E20&gt;0,VLOOKUP(E20,Oppslag!$S$14:$V$27,2,FALSE),0)</f>
        <v>0</v>
      </c>
      <c r="G20" s="250"/>
      <c r="H20" s="209">
        <f>IF($C20="Timefør.",($F20*G20)*1.4*VLOOKUP(G$12,Oppslag!$AT$4:$AV$33,2,FALSE),G20*(1+Oppslag!$N$105)*1.4)</f>
        <v>0</v>
      </c>
      <c r="I20" s="250"/>
      <c r="J20" s="209">
        <f>IF($C20="Timefør.",($F20*I20)*1.4*VLOOKUP(I$12,Oppslag!$AT$4:$AV$33,2,FALSE),I20*(1+Oppslag!$N$105)*1.4)</f>
        <v>0</v>
      </c>
      <c r="K20" s="250"/>
      <c r="L20" s="209">
        <f>IF($C20="Timefør.",($F20*K20)*1.4*VLOOKUP(K$12,Oppslag!$AT$4:$AV$33,2,FALSE),K20*(1+Oppslag!$N$105)*1.4)</f>
        <v>0</v>
      </c>
      <c r="M20" s="210">
        <f t="shared" si="2"/>
        <v>0</v>
      </c>
      <c r="N20" s="209">
        <f t="shared" si="3"/>
        <v>0</v>
      </c>
      <c r="W20" s="118">
        <f t="shared" si="4"/>
        <v>0</v>
      </c>
      <c r="X20" s="177">
        <f t="shared" si="5"/>
        <v>0</v>
      </c>
    </row>
    <row r="21" spans="1:25" hidden="1" outlineLevel="1" x14ac:dyDescent="0.25">
      <c r="A21" s="268" t="s">
        <v>101</v>
      </c>
      <c r="B21" s="268"/>
      <c r="C21" s="268"/>
      <c r="D21" s="17">
        <f>IF(E21&gt;0,VLOOKUP(E21,Oppslag!$S$14:$W$27,5,FALSE),0)</f>
        <v>0</v>
      </c>
      <c r="E21" s="250">
        <f>IF(B21&lt;&gt;0,IF(C21="Timefør.",VLOOKUP(B21,Oppslag!B:F,5,FALSE),0),0)</f>
        <v>0</v>
      </c>
      <c r="F21" s="208">
        <f>IF(E21&gt;0,VLOOKUP(E21,Oppslag!$S$14:$V$27,2,FALSE),0)</f>
        <v>0</v>
      </c>
      <c r="G21" s="250"/>
      <c r="H21" s="209">
        <f>IF($C21="Timefør.",($F21*G21)*1.4*VLOOKUP(G$12,Oppslag!$AT$4:$AV$33,2,FALSE),G21*(1+Oppslag!$N$105)*1.4)</f>
        <v>0</v>
      </c>
      <c r="I21" s="250"/>
      <c r="J21" s="209">
        <f>IF($C21="Timefør.",($F21*I21)*1.4*VLOOKUP(I$12,Oppslag!$AT$4:$AV$33,2,FALSE),I21*(1+Oppslag!$N$105)*1.4)</f>
        <v>0</v>
      </c>
      <c r="K21" s="250"/>
      <c r="L21" s="209">
        <f>IF($C21="Timefør.",($F21*K21)*1.4*VLOOKUP(K$12,Oppslag!$AT$4:$AV$33,2,FALSE),K21*(1+Oppslag!$N$105)*1.4)</f>
        <v>0</v>
      </c>
      <c r="M21" s="210">
        <f t="shared" si="2"/>
        <v>0</v>
      </c>
      <c r="N21" s="209">
        <f t="shared" si="3"/>
        <v>0</v>
      </c>
      <c r="W21" s="118">
        <f t="shared" si="4"/>
        <v>0</v>
      </c>
      <c r="X21" s="177">
        <f t="shared" si="5"/>
        <v>0</v>
      </c>
    </row>
    <row r="22" spans="1:25" hidden="1" outlineLevel="1" x14ac:dyDescent="0.25">
      <c r="A22" s="268" t="s">
        <v>102</v>
      </c>
      <c r="B22" s="268"/>
      <c r="C22" s="268"/>
      <c r="D22" s="17">
        <f>IF(E22&gt;0,VLOOKUP(E22,Oppslag!$S$14:$W$27,5,FALSE),0)</f>
        <v>0</v>
      </c>
      <c r="E22" s="250">
        <f>IF(B22&lt;&gt;0,IF(C22="Timefør.",VLOOKUP(B22,Oppslag!B:F,5,FALSE),0),0)</f>
        <v>0</v>
      </c>
      <c r="F22" s="208">
        <f>IF(E22&gt;0,VLOOKUP(E22,Oppslag!$S$14:$V$27,2,FALSE),0)</f>
        <v>0</v>
      </c>
      <c r="G22" s="250"/>
      <c r="H22" s="209">
        <f>IF($C22="Timefør.",($F22*G22)*1.4*VLOOKUP(G$12,Oppslag!$AT$4:$AV$33,2,FALSE),G22*(1+Oppslag!$N$105)*1.4)</f>
        <v>0</v>
      </c>
      <c r="I22" s="250"/>
      <c r="J22" s="209">
        <f>IF($C22="Timefør.",($F22*I22)*1.4*VLOOKUP(I$12,Oppslag!$AT$4:$AV$33,2,FALSE),I22*(1+Oppslag!$N$105)*1.4)</f>
        <v>0</v>
      </c>
      <c r="K22" s="250"/>
      <c r="L22" s="209">
        <f>IF($C22="Timefør.",($F22*K22)*1.4*VLOOKUP(K$12,Oppslag!$AT$4:$AV$33,2,FALSE),K22*(1+Oppslag!$N$105)*1.4)</f>
        <v>0</v>
      </c>
      <c r="M22" s="210">
        <f t="shared" si="2"/>
        <v>0</v>
      </c>
      <c r="N22" s="209">
        <f t="shared" si="3"/>
        <v>0</v>
      </c>
      <c r="W22" s="118">
        <f t="shared" si="4"/>
        <v>0</v>
      </c>
      <c r="X22" s="177">
        <f t="shared" si="5"/>
        <v>0</v>
      </c>
    </row>
    <row r="23" spans="1:25" hidden="1" outlineLevel="1" x14ac:dyDescent="0.25">
      <c r="A23" s="268" t="s">
        <v>103</v>
      </c>
      <c r="B23" s="268"/>
      <c r="C23" s="268"/>
      <c r="D23" s="17">
        <f>IF(E23&gt;0,VLOOKUP(E23,Oppslag!$S$14:$W$27,5,FALSE),0)</f>
        <v>0</v>
      </c>
      <c r="E23" s="250">
        <f>IF(B23&lt;&gt;0,IF(C23="Timefør.",VLOOKUP(B23,Oppslag!B:F,5,FALSE),0),0)</f>
        <v>0</v>
      </c>
      <c r="F23" s="208">
        <f>IF(E23&gt;0,VLOOKUP(E23,Oppslag!$S$14:$V$27,2,FALSE),0)</f>
        <v>0</v>
      </c>
      <c r="G23" s="250"/>
      <c r="H23" s="209">
        <f>IF($C23="Timefør.",($F23*G23)*1.4*VLOOKUP(G$12,Oppslag!$AT$4:$AV$33,2,FALSE),G23*(1+Oppslag!$N$105)*1.4)</f>
        <v>0</v>
      </c>
      <c r="I23" s="250"/>
      <c r="J23" s="209">
        <f>IF($C23="Timefør.",($F23*I23)*1.4*VLOOKUP(I$12,Oppslag!$AT$4:$AV$33,2,FALSE),I23*(1+Oppslag!$N$105)*1.4)</f>
        <v>0</v>
      </c>
      <c r="K23" s="250"/>
      <c r="L23" s="209">
        <f>IF($C23="Timefør.",($F23*K23)*1.4*VLOOKUP(K$12,Oppslag!$AT$4:$AV$33,2,FALSE),K23*(1+Oppslag!$N$105)*1.4)</f>
        <v>0</v>
      </c>
      <c r="M23" s="210">
        <f t="shared" si="2"/>
        <v>0</v>
      </c>
      <c r="N23" s="209">
        <f t="shared" si="3"/>
        <v>0</v>
      </c>
      <c r="R23" s="118"/>
      <c r="W23" s="118">
        <f t="shared" si="4"/>
        <v>0</v>
      </c>
      <c r="X23" s="177">
        <f t="shared" si="5"/>
        <v>0</v>
      </c>
    </row>
    <row r="24" spans="1:25" s="177" customFormat="1" collapsed="1" x14ac:dyDescent="0.25">
      <c r="A24" s="181"/>
      <c r="B24" s="181"/>
      <c r="C24" s="181"/>
      <c r="D24" s="181"/>
      <c r="E24" s="182"/>
      <c r="F24" s="182"/>
      <c r="G24" s="160">
        <f t="shared" ref="G24:N24" si="6">SUMIF($C$14:$C$23,"Timefør.",G14:G23)</f>
        <v>0</v>
      </c>
      <c r="H24" s="160">
        <f t="shared" si="6"/>
        <v>0</v>
      </c>
      <c r="I24" s="160">
        <f t="shared" si="6"/>
        <v>0</v>
      </c>
      <c r="J24" s="160">
        <f t="shared" si="6"/>
        <v>0</v>
      </c>
      <c r="K24" s="160">
        <f t="shared" si="6"/>
        <v>0</v>
      </c>
      <c r="L24" s="160">
        <f t="shared" si="6"/>
        <v>0</v>
      </c>
      <c r="M24" s="160">
        <f t="shared" si="6"/>
        <v>0</v>
      </c>
      <c r="N24" s="160">
        <f t="shared" si="6"/>
        <v>0</v>
      </c>
      <c r="O24" s="164"/>
      <c r="P24" s="164"/>
      <c r="R24" s="118"/>
      <c r="X24" s="118"/>
      <c r="Y24" s="164">
        <f>SUM(X14:X23)</f>
        <v>0</v>
      </c>
    </row>
    <row r="25" spans="1:25" s="177" customFormat="1" x14ac:dyDescent="0.25">
      <c r="A25" s="181"/>
      <c r="B25" s="181"/>
      <c r="C25" s="181"/>
      <c r="D25" s="182"/>
      <c r="E25" s="182"/>
      <c r="F25" s="182"/>
      <c r="G25" s="183"/>
      <c r="H25" s="184"/>
      <c r="I25" s="183"/>
      <c r="J25" s="184"/>
      <c r="K25" s="183"/>
      <c r="L25" s="184"/>
      <c r="M25" s="184"/>
      <c r="N25" s="184"/>
      <c r="R25" s="118"/>
      <c r="S25"/>
      <c r="T25"/>
      <c r="U25"/>
      <c r="W25" s="118"/>
    </row>
    <row r="26" spans="1:25" s="177" customFormat="1" ht="19.5" thickBot="1" x14ac:dyDescent="0.35">
      <c r="A26" s="109" t="s">
        <v>321</v>
      </c>
      <c r="B26" s="181"/>
      <c r="C26" s="181"/>
      <c r="D26" s="182"/>
      <c r="E26" s="182"/>
      <c r="F26" s="182"/>
      <c r="G26" s="183"/>
      <c r="H26" s="184"/>
      <c r="I26" s="200"/>
      <c r="J26" s="184"/>
      <c r="K26" s="183"/>
      <c r="L26" s="184"/>
      <c r="M26" s="184"/>
      <c r="N26" s="184"/>
      <c r="R26" s="118"/>
      <c r="S26"/>
      <c r="T26"/>
      <c r="U26"/>
      <c r="W26" s="118"/>
    </row>
    <row r="27" spans="1:25" s="177" customFormat="1" ht="19.5" customHeight="1" thickBot="1" x14ac:dyDescent="0.3">
      <c r="C27" s="304">
        <f>G12</f>
        <v>1900</v>
      </c>
      <c r="D27" s="305"/>
      <c r="E27" s="304">
        <f>I12</f>
        <v>1901</v>
      </c>
      <c r="F27" s="306"/>
      <c r="G27" s="304">
        <f>K12</f>
        <v>1902</v>
      </c>
      <c r="H27" s="305"/>
      <c r="I27" s="261" t="s">
        <v>322</v>
      </c>
      <c r="K27" s="314" t="s">
        <v>429</v>
      </c>
      <c r="L27" s="315"/>
      <c r="M27" s="315"/>
      <c r="N27" s="315"/>
      <c r="O27" s="316"/>
      <c r="R27" s="118"/>
      <c r="S27"/>
      <c r="T27"/>
      <c r="U27"/>
    </row>
    <row r="28" spans="1:25" s="177" customFormat="1" ht="41.25" customHeight="1" x14ac:dyDescent="0.3">
      <c r="A28" s="16" t="s">
        <v>93</v>
      </c>
      <c r="B28" s="202" t="s">
        <v>354</v>
      </c>
      <c r="C28" s="201" t="s">
        <v>309</v>
      </c>
      <c r="D28" s="203" t="s">
        <v>308</v>
      </c>
      <c r="E28" s="212" t="s">
        <v>309</v>
      </c>
      <c r="F28" s="211" t="s">
        <v>308</v>
      </c>
      <c r="G28" s="205" t="s">
        <v>309</v>
      </c>
      <c r="H28" s="203" t="s">
        <v>308</v>
      </c>
      <c r="I28" s="262" t="s">
        <v>91</v>
      </c>
      <c r="J28" s="1"/>
      <c r="K28" s="317"/>
      <c r="L28" s="318"/>
      <c r="M28" s="318"/>
      <c r="N28" s="318"/>
      <c r="O28" s="319"/>
      <c r="P28" s="110"/>
      <c r="Q28" s="110"/>
      <c r="R28" s="118"/>
      <c r="S28"/>
      <c r="T28"/>
      <c r="U28"/>
    </row>
    <row r="29" spans="1:25" ht="15" customHeight="1" thickBot="1" x14ac:dyDescent="0.3">
      <c r="A29" s="250" t="s">
        <v>94</v>
      </c>
      <c r="B29" s="254" t="s">
        <v>439</v>
      </c>
      <c r="C29" s="253"/>
      <c r="D29" s="204">
        <f>C29*(1+Oppslag!$N$105)*1.4</f>
        <v>0</v>
      </c>
      <c r="E29" s="250"/>
      <c r="F29" s="213">
        <f>E29*(1+Oppslag!$N$105)*1.4</f>
        <v>0</v>
      </c>
      <c r="G29" s="250"/>
      <c r="H29" s="204">
        <f>G29*(1+Oppslag!$N$105)*1.4</f>
        <v>0</v>
      </c>
      <c r="I29" s="263">
        <f t="shared" ref="I29:I36" si="7">D29+F29+H29</f>
        <v>0</v>
      </c>
      <c r="K29" s="320"/>
      <c r="L29" s="321"/>
      <c r="M29" s="321"/>
      <c r="N29" s="321"/>
      <c r="O29" s="322"/>
      <c r="P29" s="110"/>
      <c r="Q29" s="110"/>
      <c r="R29" s="118"/>
      <c r="S29"/>
      <c r="T29"/>
      <c r="U29"/>
      <c r="V29"/>
    </row>
    <row r="30" spans="1:25" x14ac:dyDescent="0.25">
      <c r="A30" s="250" t="s">
        <v>95</v>
      </c>
      <c r="B30" s="254"/>
      <c r="C30" s="253"/>
      <c r="D30" s="204">
        <f>C30*(1+Oppslag!$N$105)*1.4</f>
        <v>0</v>
      </c>
      <c r="E30" s="250"/>
      <c r="F30" s="213">
        <f>E30*(1+Oppslag!$N$105)*1.4</f>
        <v>0</v>
      </c>
      <c r="G30" s="250"/>
      <c r="H30" s="204">
        <f>G30*(1+Oppslag!$N$105)*1.4</f>
        <v>0</v>
      </c>
      <c r="I30" s="263">
        <f t="shared" si="7"/>
        <v>0</v>
      </c>
      <c r="K30" s="177"/>
      <c r="L30" s="110"/>
      <c r="M30" s="110"/>
      <c r="N30" s="110"/>
      <c r="O30" s="110"/>
      <c r="P30" s="110"/>
      <c r="Q30" s="110"/>
      <c r="R30" s="118"/>
      <c r="S30"/>
      <c r="T30"/>
      <c r="U30"/>
      <c r="V30"/>
    </row>
    <row r="31" spans="1:25" x14ac:dyDescent="0.25">
      <c r="A31" s="250" t="s">
        <v>96</v>
      </c>
      <c r="B31" s="254"/>
      <c r="C31" s="253"/>
      <c r="D31" s="204">
        <f>C31*(1+Oppslag!$N$105)*1.4</f>
        <v>0</v>
      </c>
      <c r="E31" s="250"/>
      <c r="F31" s="213">
        <f>E31*(1+Oppslag!$N$105)*1.4</f>
        <v>0</v>
      </c>
      <c r="G31" s="250"/>
      <c r="H31" s="204">
        <f>G31*(1+Oppslag!$N$105)*1.4</f>
        <v>0</v>
      </c>
      <c r="I31" s="263">
        <f t="shared" si="7"/>
        <v>0</v>
      </c>
      <c r="K31" s="177"/>
      <c r="L31" s="110"/>
      <c r="M31" s="110"/>
      <c r="N31" s="110"/>
      <c r="O31" s="110"/>
      <c r="P31" s="110"/>
      <c r="Q31" s="110"/>
      <c r="R31" s="118"/>
      <c r="S31"/>
      <c r="T31"/>
      <c r="U31"/>
      <c r="V31"/>
    </row>
    <row r="32" spans="1:25" ht="15.75" thickBot="1" x14ac:dyDescent="0.3">
      <c r="A32" s="250" t="s">
        <v>97</v>
      </c>
      <c r="B32" s="254"/>
      <c r="C32" s="253"/>
      <c r="D32" s="204">
        <f>C32*(1+Oppslag!$N$105)*1.4</f>
        <v>0</v>
      </c>
      <c r="E32" s="250"/>
      <c r="F32" s="213">
        <f>E32*(1+Oppslag!$N$105)*1.4</f>
        <v>0</v>
      </c>
      <c r="G32" s="250"/>
      <c r="H32" s="204">
        <f>G32*(1+Oppslag!$N$105)*1.4</f>
        <v>0</v>
      </c>
      <c r="I32" s="263">
        <f t="shared" si="7"/>
        <v>0</v>
      </c>
      <c r="K32" s="177"/>
      <c r="L32" s="177"/>
      <c r="M32" s="177"/>
      <c r="N32" s="177"/>
      <c r="O32" s="177"/>
      <c r="R32" s="118"/>
      <c r="V32"/>
    </row>
    <row r="33" spans="1:29" hidden="1" outlineLevel="1" x14ac:dyDescent="0.25">
      <c r="A33" s="250" t="s">
        <v>98</v>
      </c>
      <c r="B33" s="254"/>
      <c r="C33" s="253"/>
      <c r="D33" s="204">
        <f>C33*(1+Oppslag!$N$105)*1.4</f>
        <v>0</v>
      </c>
      <c r="E33" s="250"/>
      <c r="F33" s="213">
        <f>E33*(1+Oppslag!$N$105)*1.4</f>
        <v>0</v>
      </c>
      <c r="G33" s="250"/>
      <c r="H33" s="204">
        <f>G33*(1+Oppslag!$N$105)*1.4</f>
        <v>0</v>
      </c>
      <c r="I33" s="263">
        <f t="shared" si="7"/>
        <v>0</v>
      </c>
      <c r="K33" s="177"/>
      <c r="L33" s="177"/>
      <c r="M33" s="177"/>
      <c r="N33" s="177"/>
      <c r="O33" s="177"/>
      <c r="R33" s="118"/>
      <c r="V33"/>
    </row>
    <row r="34" spans="1:29" hidden="1" outlineLevel="1" x14ac:dyDescent="0.25">
      <c r="A34" s="250" t="s">
        <v>99</v>
      </c>
      <c r="B34" s="254"/>
      <c r="C34" s="253"/>
      <c r="D34" s="204">
        <f>C34*(1+Oppslag!$N$105)*1.4</f>
        <v>0</v>
      </c>
      <c r="E34" s="250"/>
      <c r="F34" s="213">
        <f>E34*(1+Oppslag!$N$105)*1.4</f>
        <v>0</v>
      </c>
      <c r="G34" s="250"/>
      <c r="H34" s="204">
        <f>G34*(1+Oppslag!$N$105)*1.4</f>
        <v>0</v>
      </c>
      <c r="I34" s="263">
        <f t="shared" si="7"/>
        <v>0</v>
      </c>
      <c r="K34" s="177"/>
      <c r="L34" s="177"/>
      <c r="M34" s="177"/>
      <c r="N34" s="177"/>
      <c r="O34" s="177"/>
      <c r="R34" s="118"/>
      <c r="S34"/>
      <c r="T34"/>
      <c r="U34"/>
      <c r="V34"/>
    </row>
    <row r="35" spans="1:29" hidden="1" outlineLevel="1" x14ac:dyDescent="0.25">
      <c r="A35" s="250" t="s">
        <v>100</v>
      </c>
      <c r="B35" s="254"/>
      <c r="C35" s="253"/>
      <c r="D35" s="204">
        <f>C35*(1+Oppslag!$N$105)*1.4</f>
        <v>0</v>
      </c>
      <c r="E35" s="250"/>
      <c r="F35" s="213">
        <f>E35*(1+Oppslag!$N$105)*1.4</f>
        <v>0</v>
      </c>
      <c r="G35" s="250"/>
      <c r="H35" s="204">
        <f>G35*(1+Oppslag!$N$105)*1.4</f>
        <v>0</v>
      </c>
      <c r="I35" s="263">
        <f t="shared" si="7"/>
        <v>0</v>
      </c>
      <c r="K35" s="177"/>
      <c r="L35" s="177"/>
      <c r="M35" s="177"/>
      <c r="N35" s="177"/>
      <c r="O35" s="177"/>
      <c r="V35"/>
    </row>
    <row r="36" spans="1:29" ht="15.75" hidden="1" outlineLevel="1" thickBot="1" x14ac:dyDescent="0.3">
      <c r="A36" s="250" t="s">
        <v>101</v>
      </c>
      <c r="B36" s="254"/>
      <c r="C36" s="253"/>
      <c r="D36" s="204">
        <f>C36*(1+Oppslag!$N$105)*1.4</f>
        <v>0</v>
      </c>
      <c r="E36" s="250"/>
      <c r="F36" s="213">
        <f>E36*(1+Oppslag!$N$105)*1.4</f>
        <v>0</v>
      </c>
      <c r="G36" s="250"/>
      <c r="H36" s="204">
        <f>G36*(1+Oppslag!$N$105)*1.4</f>
        <v>0</v>
      </c>
      <c r="I36" s="263">
        <f t="shared" si="7"/>
        <v>0</v>
      </c>
      <c r="K36" s="177"/>
      <c r="L36" s="177"/>
      <c r="M36" s="177"/>
      <c r="N36" s="177"/>
      <c r="O36" s="177"/>
      <c r="V36"/>
    </row>
    <row r="37" spans="1:29" s="164" customFormat="1" ht="15.75" collapsed="1" x14ac:dyDescent="0.25">
      <c r="Q37" s="308" t="s">
        <v>141</v>
      </c>
      <c r="R37" s="309"/>
      <c r="S37" s="309"/>
      <c r="T37" s="309"/>
      <c r="U37" s="310"/>
    </row>
    <row r="38" spans="1:29" ht="18.75" x14ac:dyDescent="0.3">
      <c r="Q38" s="219" t="s">
        <v>138</v>
      </c>
      <c r="R38" s="112">
        <f>G12</f>
        <v>1900</v>
      </c>
      <c r="S38" s="112">
        <f>R38+1</f>
        <v>1901</v>
      </c>
      <c r="T38" s="112">
        <f>S38+1</f>
        <v>1902</v>
      </c>
      <c r="U38" s="27" t="s">
        <v>79</v>
      </c>
    </row>
    <row r="39" spans="1:29" ht="19.5" thickBot="1" x14ac:dyDescent="0.35">
      <c r="A39" s="109" t="s">
        <v>324</v>
      </c>
      <c r="H39" s="38"/>
      <c r="Q39" s="19" t="s">
        <v>314</v>
      </c>
      <c r="R39" s="23">
        <f>SUMIF($A$41:$A$72,$Q39,E$41:E$72)</f>
        <v>0</v>
      </c>
      <c r="S39" s="23">
        <f t="shared" ref="S39:T46" si="8">SUMIF($A$41:$A$72,$Q39,F$41:F$72)</f>
        <v>0</v>
      </c>
      <c r="T39" s="23">
        <f t="shared" si="8"/>
        <v>0</v>
      </c>
      <c r="U39" s="25">
        <f t="shared" ref="U39:U47" si="9">SUM(R39:T39)</f>
        <v>0</v>
      </c>
    </row>
    <row r="40" spans="1:29" ht="30.75" customHeight="1" x14ac:dyDescent="0.25">
      <c r="A40" s="325" t="s">
        <v>138</v>
      </c>
      <c r="B40" s="325"/>
      <c r="C40" s="325" t="s">
        <v>139</v>
      </c>
      <c r="D40" s="325"/>
      <c r="E40" s="191">
        <f>G12</f>
        <v>1900</v>
      </c>
      <c r="F40" s="111">
        <f>E40+1</f>
        <v>1901</v>
      </c>
      <c r="G40" s="255">
        <f>F40+1</f>
        <v>1902</v>
      </c>
      <c r="H40" s="258" t="s">
        <v>79</v>
      </c>
      <c r="Q40" s="19" t="s">
        <v>340</v>
      </c>
      <c r="R40" s="23">
        <f t="shared" ref="R40:R46" si="10">SUMIF($A$41:$A$72,$Q40,E$41:E$72)</f>
        <v>0</v>
      </c>
      <c r="S40" s="23">
        <f t="shared" si="8"/>
        <v>0</v>
      </c>
      <c r="T40" s="23">
        <f t="shared" si="8"/>
        <v>0</v>
      </c>
      <c r="U40" s="25">
        <f t="shared" si="9"/>
        <v>0</v>
      </c>
    </row>
    <row r="41" spans="1:29" ht="15.75" x14ac:dyDescent="0.25">
      <c r="A41" s="326" t="s">
        <v>377</v>
      </c>
      <c r="B41" s="326"/>
      <c r="C41" s="327" t="s">
        <v>358</v>
      </c>
      <c r="D41" s="327"/>
      <c r="E41" s="251"/>
      <c r="F41" s="252"/>
      <c r="G41" s="256"/>
      <c r="H41" s="259">
        <f>IF(D6="Videreutdanning",(D8*1.5)*K3*Oppslag!$W$32*Oppslag!$W$39,(D8*1.5)*K4*Oppslag!$W$39)</f>
        <v>0</v>
      </c>
      <c r="I41" s="234">
        <f>H41-SUM(E41:G41)</f>
        <v>0</v>
      </c>
      <c r="J41" s="220" t="str">
        <f>IF(ABS(I41)&lt;1," ","Fordel romkostnad pr. år")</f>
        <v xml:space="preserve"> </v>
      </c>
      <c r="Q41" s="19" t="s">
        <v>377</v>
      </c>
      <c r="R41" s="23">
        <f t="shared" si="10"/>
        <v>0</v>
      </c>
      <c r="S41" s="23">
        <f t="shared" si="8"/>
        <v>0</v>
      </c>
      <c r="T41" s="23">
        <f t="shared" si="8"/>
        <v>0</v>
      </c>
      <c r="U41" s="25">
        <f t="shared" si="9"/>
        <v>0</v>
      </c>
    </row>
    <row r="42" spans="1:29" x14ac:dyDescent="0.25">
      <c r="A42" s="300" t="s">
        <v>314</v>
      </c>
      <c r="B42" s="301"/>
      <c r="C42" s="300"/>
      <c r="D42" s="301"/>
      <c r="E42" s="250"/>
      <c r="F42" s="250"/>
      <c r="G42" s="254"/>
      <c r="H42" s="260">
        <f t="shared" ref="H42:H72" si="11">SUM(E42:G42)</f>
        <v>0</v>
      </c>
      <c r="Q42" s="19" t="s">
        <v>379</v>
      </c>
      <c r="R42" s="23">
        <f t="shared" si="10"/>
        <v>0</v>
      </c>
      <c r="S42" s="23">
        <f t="shared" si="8"/>
        <v>0</v>
      </c>
      <c r="T42" s="23">
        <f t="shared" si="8"/>
        <v>0</v>
      </c>
      <c r="U42" s="25">
        <f t="shared" si="9"/>
        <v>0</v>
      </c>
    </row>
    <row r="43" spans="1:29" s="177" customFormat="1" x14ac:dyDescent="0.25">
      <c r="A43" s="300" t="s">
        <v>340</v>
      </c>
      <c r="B43" s="301"/>
      <c r="C43" s="300"/>
      <c r="D43" s="301"/>
      <c r="E43" s="250"/>
      <c r="F43" s="250"/>
      <c r="G43" s="254"/>
      <c r="H43" s="260">
        <f t="shared" si="11"/>
        <v>0</v>
      </c>
      <c r="Q43" s="19" t="s">
        <v>316</v>
      </c>
      <c r="R43" s="23">
        <f t="shared" si="10"/>
        <v>0</v>
      </c>
      <c r="S43" s="23">
        <f t="shared" si="8"/>
        <v>0</v>
      </c>
      <c r="T43" s="23">
        <f t="shared" si="8"/>
        <v>0</v>
      </c>
      <c r="U43" s="25">
        <f t="shared" si="9"/>
        <v>0</v>
      </c>
      <c r="W43" s="80"/>
      <c r="X43" s="80"/>
      <c r="Y43" s="80"/>
      <c r="Z43" s="80"/>
      <c r="AA43" s="80"/>
      <c r="AB43" s="80"/>
      <c r="AC43" s="80"/>
    </row>
    <row r="44" spans="1:29" x14ac:dyDescent="0.25">
      <c r="A44" s="300" t="s">
        <v>136</v>
      </c>
      <c r="B44" s="301"/>
      <c r="C44" s="328"/>
      <c r="D44" s="329"/>
      <c r="E44" s="250"/>
      <c r="F44" s="250"/>
      <c r="G44" s="254"/>
      <c r="H44" s="260">
        <f t="shared" si="11"/>
        <v>0</v>
      </c>
      <c r="Q44" s="49" t="s">
        <v>317</v>
      </c>
      <c r="R44" s="23">
        <f t="shared" si="10"/>
        <v>0</v>
      </c>
      <c r="S44" s="23">
        <f t="shared" si="8"/>
        <v>0</v>
      </c>
      <c r="T44" s="23">
        <f t="shared" si="8"/>
        <v>0</v>
      </c>
      <c r="U44" s="25">
        <f t="shared" si="9"/>
        <v>0</v>
      </c>
      <c r="W44" s="80"/>
      <c r="X44" s="80"/>
      <c r="Y44" s="80"/>
      <c r="Z44" s="80"/>
      <c r="AA44" s="80"/>
      <c r="AB44" s="80"/>
      <c r="AC44" s="80"/>
    </row>
    <row r="45" spans="1:29" x14ac:dyDescent="0.25">
      <c r="A45" s="300" t="s">
        <v>317</v>
      </c>
      <c r="B45" s="301"/>
      <c r="C45" s="300"/>
      <c r="D45" s="301"/>
      <c r="E45" s="250"/>
      <c r="F45" s="250"/>
      <c r="G45" s="254"/>
      <c r="H45" s="260">
        <f t="shared" si="11"/>
        <v>0</v>
      </c>
      <c r="Q45" s="19" t="s">
        <v>150</v>
      </c>
      <c r="R45" s="23">
        <f t="shared" si="10"/>
        <v>0</v>
      </c>
      <c r="S45" s="23">
        <f t="shared" si="8"/>
        <v>0</v>
      </c>
      <c r="T45" s="23">
        <f t="shared" si="8"/>
        <v>0</v>
      </c>
      <c r="U45" s="25">
        <f t="shared" si="9"/>
        <v>0</v>
      </c>
      <c r="W45" s="80"/>
      <c r="X45" s="80"/>
      <c r="Y45" s="80"/>
      <c r="Z45" s="80"/>
      <c r="AA45" s="80"/>
      <c r="AB45" s="80"/>
      <c r="AC45" s="80"/>
    </row>
    <row r="46" spans="1:29" x14ac:dyDescent="0.25">
      <c r="A46" s="300" t="s">
        <v>150</v>
      </c>
      <c r="B46" s="301"/>
      <c r="C46" s="300"/>
      <c r="D46" s="301"/>
      <c r="E46" s="250"/>
      <c r="F46" s="250"/>
      <c r="G46" s="254"/>
      <c r="H46" s="260">
        <f t="shared" si="11"/>
        <v>0</v>
      </c>
      <c r="Q46" s="19" t="s">
        <v>136</v>
      </c>
      <c r="R46" s="23">
        <f t="shared" si="10"/>
        <v>0</v>
      </c>
      <c r="S46" s="23">
        <f t="shared" si="8"/>
        <v>0</v>
      </c>
      <c r="T46" s="23">
        <f t="shared" si="8"/>
        <v>0</v>
      </c>
      <c r="U46" s="25">
        <f t="shared" si="9"/>
        <v>0</v>
      </c>
      <c r="W46" s="311"/>
      <c r="X46" s="311"/>
      <c r="Y46" s="307"/>
      <c r="Z46" s="307"/>
      <c r="AA46" s="307"/>
      <c r="AB46" s="307"/>
      <c r="AC46" s="80"/>
    </row>
    <row r="47" spans="1:29" ht="15.75" customHeight="1" thickBot="1" x14ac:dyDescent="0.3">
      <c r="A47" s="300" t="s">
        <v>379</v>
      </c>
      <c r="B47" s="301"/>
      <c r="C47" s="300"/>
      <c r="D47" s="301"/>
      <c r="E47" s="250"/>
      <c r="F47" s="250"/>
      <c r="G47" s="254"/>
      <c r="H47" s="260">
        <f t="shared" si="11"/>
        <v>0</v>
      </c>
      <c r="I47" s="220" t="str">
        <f>IF(H47&lt;&gt;0,IF(H41&gt;0,"Skal det være både ekstern og intern husleie?",0),"")</f>
        <v/>
      </c>
      <c r="Q47" s="83" t="s">
        <v>91</v>
      </c>
      <c r="R47" s="24">
        <f>SUM(R39:R46)</f>
        <v>0</v>
      </c>
      <c r="S47" s="24">
        <f>SUM(S39:S46)</f>
        <v>0</v>
      </c>
      <c r="T47" s="24">
        <f>SUM(T39:T46)</f>
        <v>0</v>
      </c>
      <c r="U47" s="26">
        <f t="shared" si="9"/>
        <v>0</v>
      </c>
      <c r="W47" s="216"/>
      <c r="X47" s="216"/>
      <c r="Y47" s="216"/>
      <c r="Z47" s="216"/>
      <c r="AA47" s="216"/>
      <c r="AB47" s="216"/>
      <c r="AC47" s="80"/>
    </row>
    <row r="48" spans="1:29" x14ac:dyDescent="0.25">
      <c r="A48" s="300" t="s">
        <v>136</v>
      </c>
      <c r="B48" s="301"/>
      <c r="C48" s="300"/>
      <c r="D48" s="301"/>
      <c r="E48" s="250"/>
      <c r="F48" s="250"/>
      <c r="G48" s="254"/>
      <c r="H48" s="260">
        <f t="shared" si="11"/>
        <v>0</v>
      </c>
      <c r="W48" s="184"/>
      <c r="X48" s="184"/>
      <c r="Y48" s="184"/>
      <c r="Z48" s="184"/>
      <c r="AA48" s="184"/>
      <c r="AB48" s="184"/>
      <c r="AC48" s="80"/>
    </row>
    <row r="49" spans="1:29" ht="15" customHeight="1" x14ac:dyDescent="0.25">
      <c r="A49" s="300" t="s">
        <v>316</v>
      </c>
      <c r="B49" s="301"/>
      <c r="C49" s="300"/>
      <c r="D49" s="301"/>
      <c r="E49" s="250"/>
      <c r="F49" s="250"/>
      <c r="G49" s="254"/>
      <c r="H49" s="260">
        <f t="shared" si="11"/>
        <v>0</v>
      </c>
      <c r="W49" s="184"/>
      <c r="X49" s="184"/>
      <c r="Y49" s="184"/>
      <c r="Z49" s="184"/>
      <c r="AA49" s="184"/>
      <c r="AB49" s="184"/>
      <c r="AC49" s="80"/>
    </row>
    <row r="50" spans="1:29" hidden="1" outlineLevel="1" x14ac:dyDescent="0.25">
      <c r="A50" s="300"/>
      <c r="B50" s="301"/>
      <c r="C50" s="300"/>
      <c r="D50" s="301"/>
      <c r="E50" s="250"/>
      <c r="F50" s="250"/>
      <c r="G50" s="254"/>
      <c r="H50" s="260">
        <f t="shared" si="11"/>
        <v>0</v>
      </c>
      <c r="W50" s="184"/>
      <c r="X50" s="184"/>
      <c r="Y50" s="184"/>
      <c r="Z50" s="184"/>
      <c r="AA50" s="184"/>
      <c r="AB50" s="184"/>
      <c r="AC50" s="80"/>
    </row>
    <row r="51" spans="1:29" hidden="1" outlineLevel="1" x14ac:dyDescent="0.25">
      <c r="A51" s="300"/>
      <c r="B51" s="301"/>
      <c r="C51" s="300"/>
      <c r="D51" s="301"/>
      <c r="E51" s="250"/>
      <c r="F51" s="250"/>
      <c r="G51" s="254"/>
      <c r="H51" s="260">
        <f t="shared" si="11"/>
        <v>0</v>
      </c>
      <c r="W51" s="184"/>
      <c r="X51" s="184"/>
      <c r="Y51" s="184"/>
      <c r="Z51" s="184"/>
      <c r="AA51" s="184"/>
      <c r="AB51" s="184"/>
      <c r="AC51" s="80"/>
    </row>
    <row r="52" spans="1:29" hidden="1" outlineLevel="1" x14ac:dyDescent="0.25">
      <c r="A52" s="300"/>
      <c r="B52" s="301"/>
      <c r="C52" s="300"/>
      <c r="D52" s="301"/>
      <c r="E52" s="250"/>
      <c r="F52" s="250"/>
      <c r="G52" s="254"/>
      <c r="H52" s="260">
        <f t="shared" si="11"/>
        <v>0</v>
      </c>
      <c r="W52" s="184"/>
      <c r="X52" s="184"/>
      <c r="Y52" s="184"/>
      <c r="Z52" s="184"/>
      <c r="AA52" s="184"/>
      <c r="AB52" s="184"/>
      <c r="AC52" s="80"/>
    </row>
    <row r="53" spans="1:29" hidden="1" outlineLevel="1" x14ac:dyDescent="0.25">
      <c r="A53" s="300"/>
      <c r="B53" s="301"/>
      <c r="C53" s="300"/>
      <c r="D53" s="301"/>
      <c r="E53" s="250"/>
      <c r="F53" s="250"/>
      <c r="G53" s="254"/>
      <c r="H53" s="260">
        <f t="shared" si="11"/>
        <v>0</v>
      </c>
      <c r="W53" s="184"/>
      <c r="X53" s="184"/>
      <c r="Y53" s="184"/>
      <c r="Z53" s="184"/>
      <c r="AA53" s="184"/>
      <c r="AB53" s="184"/>
      <c r="AC53" s="80"/>
    </row>
    <row r="54" spans="1:29" hidden="1" outlineLevel="1" x14ac:dyDescent="0.25">
      <c r="A54" s="300"/>
      <c r="B54" s="301"/>
      <c r="C54" s="300"/>
      <c r="D54" s="301"/>
      <c r="E54" s="250"/>
      <c r="F54" s="250"/>
      <c r="G54" s="254"/>
      <c r="H54" s="260">
        <f t="shared" si="11"/>
        <v>0</v>
      </c>
      <c r="W54" s="184"/>
      <c r="X54" s="184"/>
      <c r="Y54" s="184"/>
      <c r="Z54" s="184"/>
      <c r="AA54" s="184"/>
      <c r="AB54" s="184"/>
      <c r="AC54" s="80"/>
    </row>
    <row r="55" spans="1:29" hidden="1" outlineLevel="1" x14ac:dyDescent="0.25">
      <c r="A55" s="300"/>
      <c r="B55" s="301"/>
      <c r="C55" s="300"/>
      <c r="D55" s="301"/>
      <c r="E55" s="250"/>
      <c r="F55" s="250"/>
      <c r="G55" s="254"/>
      <c r="H55" s="260">
        <f t="shared" si="11"/>
        <v>0</v>
      </c>
      <c r="W55" s="184"/>
      <c r="X55" s="184"/>
      <c r="Y55" s="184"/>
      <c r="Z55" s="184"/>
      <c r="AA55" s="184"/>
      <c r="AB55" s="184"/>
      <c r="AC55" s="80"/>
    </row>
    <row r="56" spans="1:29" hidden="1" outlineLevel="1" x14ac:dyDescent="0.25">
      <c r="A56" s="300"/>
      <c r="B56" s="301"/>
      <c r="C56" s="300"/>
      <c r="D56" s="301"/>
      <c r="E56" s="250"/>
      <c r="F56" s="250"/>
      <c r="G56" s="254"/>
      <c r="H56" s="260">
        <f t="shared" si="11"/>
        <v>0</v>
      </c>
      <c r="W56" s="184"/>
      <c r="X56" s="184"/>
      <c r="Y56" s="184"/>
      <c r="Z56" s="184"/>
      <c r="AA56" s="184"/>
      <c r="AB56" s="184"/>
      <c r="AC56" s="80"/>
    </row>
    <row r="57" spans="1:29" hidden="1" outlineLevel="1" x14ac:dyDescent="0.25">
      <c r="A57" s="300"/>
      <c r="B57" s="301"/>
      <c r="C57" s="300"/>
      <c r="D57" s="301"/>
      <c r="E57" s="250"/>
      <c r="F57" s="250"/>
      <c r="G57" s="254"/>
      <c r="H57" s="260">
        <f t="shared" si="11"/>
        <v>0</v>
      </c>
      <c r="W57" s="184"/>
      <c r="X57" s="184"/>
      <c r="Y57" s="184"/>
      <c r="Z57" s="184"/>
      <c r="AA57" s="184"/>
      <c r="AB57" s="184"/>
      <c r="AC57" s="80"/>
    </row>
    <row r="58" spans="1:29" hidden="1" outlineLevel="1" x14ac:dyDescent="0.25">
      <c r="A58" s="300"/>
      <c r="B58" s="301"/>
      <c r="C58" s="300"/>
      <c r="D58" s="301"/>
      <c r="E58" s="250"/>
      <c r="F58" s="250"/>
      <c r="G58" s="254"/>
      <c r="H58" s="260">
        <f t="shared" si="11"/>
        <v>0</v>
      </c>
      <c r="W58" s="184"/>
      <c r="X58" s="184"/>
      <c r="Y58" s="184"/>
      <c r="Z58" s="184"/>
      <c r="AA58" s="184"/>
      <c r="AB58" s="184"/>
      <c r="AC58" s="80"/>
    </row>
    <row r="59" spans="1:29" hidden="1" outlineLevel="1" x14ac:dyDescent="0.25">
      <c r="A59" s="300"/>
      <c r="B59" s="301"/>
      <c r="C59" s="300"/>
      <c r="D59" s="301"/>
      <c r="E59" s="250"/>
      <c r="F59" s="250"/>
      <c r="G59" s="254"/>
      <c r="H59" s="260">
        <f t="shared" si="11"/>
        <v>0</v>
      </c>
      <c r="W59" s="184"/>
      <c r="X59" s="184"/>
      <c r="Y59" s="184"/>
      <c r="Z59" s="184"/>
      <c r="AA59" s="184"/>
      <c r="AB59" s="184"/>
      <c r="AC59" s="80"/>
    </row>
    <row r="60" spans="1:29" hidden="1" outlineLevel="1" x14ac:dyDescent="0.25">
      <c r="A60" s="300"/>
      <c r="B60" s="301"/>
      <c r="C60" s="300"/>
      <c r="D60" s="301"/>
      <c r="E60" s="250"/>
      <c r="F60" s="250"/>
      <c r="G60" s="254"/>
      <c r="H60" s="260">
        <f t="shared" si="11"/>
        <v>0</v>
      </c>
      <c r="W60" s="184"/>
      <c r="X60" s="184"/>
      <c r="Y60" s="184"/>
      <c r="Z60" s="184"/>
      <c r="AA60" s="184"/>
      <c r="AB60" s="184"/>
      <c r="AC60" s="80"/>
    </row>
    <row r="61" spans="1:29" ht="15" hidden="1" customHeight="1" outlineLevel="1" x14ac:dyDescent="0.25">
      <c r="A61" s="300"/>
      <c r="B61" s="301"/>
      <c r="C61" s="300"/>
      <c r="D61" s="301"/>
      <c r="E61" s="250"/>
      <c r="F61" s="250"/>
      <c r="G61" s="254"/>
      <c r="H61" s="260">
        <f t="shared" si="11"/>
        <v>0</v>
      </c>
      <c r="W61" s="311"/>
      <c r="X61" s="311"/>
      <c r="Y61" s="307"/>
      <c r="Z61" s="307"/>
      <c r="AA61" s="307"/>
      <c r="AB61" s="307"/>
      <c r="AC61" s="80"/>
    </row>
    <row r="62" spans="1:29" ht="13.5" hidden="1" customHeight="1" outlineLevel="1" x14ac:dyDescent="0.25">
      <c r="A62" s="300"/>
      <c r="B62" s="301"/>
      <c r="C62" s="300"/>
      <c r="D62" s="301"/>
      <c r="E62" s="250"/>
      <c r="F62" s="250"/>
      <c r="G62" s="254"/>
      <c r="H62" s="260">
        <f t="shared" si="11"/>
        <v>0</v>
      </c>
      <c r="W62" s="216"/>
      <c r="X62" s="216"/>
      <c r="Y62" s="216"/>
      <c r="Z62" s="216"/>
      <c r="AA62" s="216"/>
      <c r="AB62" s="216"/>
      <c r="AC62" s="80"/>
    </row>
    <row r="63" spans="1:29" hidden="1" outlineLevel="1" x14ac:dyDescent="0.25">
      <c r="A63" s="300"/>
      <c r="B63" s="301"/>
      <c r="C63" s="300"/>
      <c r="D63" s="301"/>
      <c r="E63" s="250"/>
      <c r="F63" s="250"/>
      <c r="G63" s="254"/>
      <c r="H63" s="260">
        <f t="shared" si="11"/>
        <v>0</v>
      </c>
      <c r="W63" s="184"/>
      <c r="X63" s="184"/>
      <c r="Y63" s="184"/>
      <c r="Z63" s="184"/>
      <c r="AA63" s="184"/>
      <c r="AB63" s="184"/>
      <c r="AC63" s="80"/>
    </row>
    <row r="64" spans="1:29" hidden="1" outlineLevel="1" x14ac:dyDescent="0.25">
      <c r="A64" s="300"/>
      <c r="B64" s="301"/>
      <c r="C64" s="300"/>
      <c r="D64" s="301"/>
      <c r="E64" s="250"/>
      <c r="F64" s="250"/>
      <c r="G64" s="254"/>
      <c r="H64" s="260">
        <f t="shared" si="11"/>
        <v>0</v>
      </c>
      <c r="W64" s="184"/>
      <c r="X64" s="184"/>
      <c r="Y64" s="184"/>
      <c r="Z64" s="184"/>
      <c r="AA64" s="184"/>
      <c r="AB64" s="184"/>
      <c r="AC64" s="80"/>
    </row>
    <row r="65" spans="1:29" hidden="1" outlineLevel="1" x14ac:dyDescent="0.25">
      <c r="A65" s="300"/>
      <c r="B65" s="301"/>
      <c r="C65" s="300"/>
      <c r="D65" s="301"/>
      <c r="E65" s="250"/>
      <c r="F65" s="250"/>
      <c r="G65" s="254"/>
      <c r="H65" s="260">
        <f t="shared" si="11"/>
        <v>0</v>
      </c>
      <c r="W65" s="184"/>
      <c r="X65" s="184"/>
      <c r="Y65" s="184"/>
      <c r="Z65" s="184"/>
      <c r="AA65" s="184"/>
      <c r="AB65" s="184"/>
      <c r="AC65" s="80"/>
    </row>
    <row r="66" spans="1:29" hidden="1" outlineLevel="1" x14ac:dyDescent="0.25">
      <c r="A66" s="300"/>
      <c r="B66" s="301"/>
      <c r="C66" s="300"/>
      <c r="D66" s="301"/>
      <c r="E66" s="250"/>
      <c r="F66" s="250"/>
      <c r="G66" s="254"/>
      <c r="H66" s="260">
        <f t="shared" si="11"/>
        <v>0</v>
      </c>
      <c r="W66" s="184"/>
      <c r="X66" s="184"/>
      <c r="Y66" s="184"/>
      <c r="Z66" s="184"/>
      <c r="AA66" s="184"/>
      <c r="AB66" s="184"/>
      <c r="AC66" s="80"/>
    </row>
    <row r="67" spans="1:29" hidden="1" outlineLevel="1" x14ac:dyDescent="0.25">
      <c r="A67" s="300"/>
      <c r="B67" s="301"/>
      <c r="C67" s="300"/>
      <c r="D67" s="301"/>
      <c r="E67" s="250"/>
      <c r="F67" s="250"/>
      <c r="G67" s="254"/>
      <c r="H67" s="260">
        <f t="shared" si="11"/>
        <v>0</v>
      </c>
      <c r="W67" s="184"/>
      <c r="X67" s="184"/>
      <c r="Y67" s="184"/>
      <c r="Z67" s="184"/>
      <c r="AA67" s="184"/>
      <c r="AB67" s="184"/>
      <c r="AC67" s="80"/>
    </row>
    <row r="68" spans="1:29" hidden="1" outlineLevel="1" x14ac:dyDescent="0.25">
      <c r="A68" s="300"/>
      <c r="B68" s="301"/>
      <c r="C68" s="300"/>
      <c r="D68" s="301"/>
      <c r="E68" s="250"/>
      <c r="F68" s="250"/>
      <c r="G68" s="254"/>
      <c r="H68" s="260">
        <f t="shared" si="11"/>
        <v>0</v>
      </c>
      <c r="W68" s="184"/>
      <c r="X68" s="184"/>
      <c r="Y68" s="184"/>
      <c r="Z68" s="184"/>
      <c r="AA68" s="184"/>
      <c r="AB68" s="184"/>
      <c r="AC68" s="80"/>
    </row>
    <row r="69" spans="1:29" hidden="1" outlineLevel="1" x14ac:dyDescent="0.25">
      <c r="A69" s="300"/>
      <c r="B69" s="301"/>
      <c r="C69" s="300"/>
      <c r="D69" s="301"/>
      <c r="E69" s="250"/>
      <c r="F69" s="250"/>
      <c r="G69" s="254"/>
      <c r="H69" s="260">
        <f t="shared" si="11"/>
        <v>0</v>
      </c>
      <c r="W69" s="184"/>
      <c r="X69" s="184"/>
      <c r="Y69" s="184"/>
      <c r="Z69" s="184"/>
      <c r="AA69" s="184"/>
      <c r="AB69" s="184"/>
      <c r="AC69" s="80"/>
    </row>
    <row r="70" spans="1:29" hidden="1" outlineLevel="1" x14ac:dyDescent="0.25">
      <c r="A70" s="300"/>
      <c r="B70" s="301"/>
      <c r="C70" s="300"/>
      <c r="D70" s="301"/>
      <c r="E70" s="250"/>
      <c r="F70" s="250"/>
      <c r="G70" s="254"/>
      <c r="H70" s="260">
        <f t="shared" si="11"/>
        <v>0</v>
      </c>
      <c r="W70" s="184"/>
      <c r="X70" s="184"/>
      <c r="Y70" s="184"/>
      <c r="Z70" s="184"/>
      <c r="AA70" s="184"/>
      <c r="AB70" s="184"/>
      <c r="AC70" s="80"/>
    </row>
    <row r="71" spans="1:29" hidden="1" outlineLevel="1" x14ac:dyDescent="0.25">
      <c r="A71" s="300"/>
      <c r="B71" s="301"/>
      <c r="C71" s="300"/>
      <c r="D71" s="301"/>
      <c r="E71" s="250"/>
      <c r="F71" s="250"/>
      <c r="G71" s="254"/>
      <c r="H71" s="260">
        <f t="shared" si="11"/>
        <v>0</v>
      </c>
      <c r="W71" s="217"/>
      <c r="X71" s="217"/>
      <c r="Y71" s="217"/>
      <c r="Z71" s="217"/>
      <c r="AA71" s="217"/>
      <c r="AB71" s="217"/>
      <c r="AC71" s="80"/>
    </row>
    <row r="72" spans="1:29" hidden="1" outlineLevel="1" x14ac:dyDescent="0.25">
      <c r="A72" s="300"/>
      <c r="B72" s="301"/>
      <c r="C72" s="300"/>
      <c r="D72" s="301"/>
      <c r="E72" s="250"/>
      <c r="F72" s="250"/>
      <c r="G72" s="254"/>
      <c r="H72" s="260">
        <f t="shared" si="11"/>
        <v>0</v>
      </c>
      <c r="Q72"/>
      <c r="W72" s="80"/>
      <c r="X72" s="80"/>
      <c r="Y72" s="80"/>
      <c r="Z72" s="80"/>
      <c r="AA72" s="80"/>
      <c r="AB72" s="80"/>
      <c r="AC72" s="80"/>
    </row>
    <row r="73" spans="1:29" collapsed="1" x14ac:dyDescent="0.25">
      <c r="A73" s="323" t="s">
        <v>140</v>
      </c>
      <c r="B73" s="324"/>
      <c r="C73" s="193"/>
      <c r="D73" s="194"/>
      <c r="E73" s="192">
        <f>SUM(E41:E72)</f>
        <v>0</v>
      </c>
      <c r="F73" s="192">
        <f>SUM(F41:F72)</f>
        <v>0</v>
      </c>
      <c r="G73" s="257">
        <f>SUM(G41:G72)</f>
        <v>0</v>
      </c>
      <c r="H73" s="260">
        <f>SUM(H41:H72)</f>
        <v>0</v>
      </c>
      <c r="P73"/>
      <c r="W73" s="80"/>
      <c r="X73" s="80"/>
      <c r="Y73" s="80"/>
      <c r="Z73" s="80"/>
      <c r="AA73" s="80"/>
      <c r="AB73" s="80"/>
      <c r="AC73" s="80"/>
    </row>
    <row r="74" spans="1:29" x14ac:dyDescent="0.25">
      <c r="C74" s="1"/>
      <c r="D74" s="1"/>
      <c r="W74" s="80"/>
      <c r="X74" s="80"/>
      <c r="Y74" s="80"/>
      <c r="Z74" s="80"/>
      <c r="AA74" s="80"/>
      <c r="AB74" s="80"/>
      <c r="AC74" s="80"/>
    </row>
    <row r="75" spans="1:29" x14ac:dyDescent="0.25">
      <c r="W75" s="80"/>
      <c r="X75" s="80"/>
      <c r="Y75" s="80"/>
      <c r="Z75" s="80"/>
      <c r="AA75" s="80"/>
      <c r="AB75" s="80"/>
      <c r="AC75" s="80"/>
    </row>
    <row r="76" spans="1:29" x14ac:dyDescent="0.25">
      <c r="W76" s="80"/>
      <c r="X76" s="80"/>
      <c r="Y76" s="80"/>
      <c r="Z76" s="80"/>
      <c r="AA76" s="80"/>
      <c r="AB76" s="80"/>
      <c r="AC76" s="80"/>
    </row>
    <row r="77" spans="1:29" x14ac:dyDescent="0.25">
      <c r="W77" s="80"/>
      <c r="X77" s="80"/>
      <c r="Y77" s="80"/>
      <c r="Z77" s="80"/>
      <c r="AA77" s="80"/>
      <c r="AB77" s="80"/>
      <c r="AC77" s="80"/>
    </row>
    <row r="78" spans="1:29" x14ac:dyDescent="0.25">
      <c r="W78" s="80"/>
      <c r="X78" s="80"/>
      <c r="Y78" s="80"/>
      <c r="Z78" s="80"/>
      <c r="AA78" s="80"/>
      <c r="AB78" s="80"/>
      <c r="AC78" s="80"/>
    </row>
    <row r="79" spans="1:29" x14ac:dyDescent="0.25">
      <c r="W79" s="80"/>
      <c r="X79" s="80"/>
      <c r="Y79" s="80"/>
      <c r="Z79" s="80"/>
      <c r="AA79" s="80"/>
      <c r="AB79" s="80"/>
      <c r="AC79" s="80"/>
    </row>
    <row r="80" spans="1:29" x14ac:dyDescent="0.25">
      <c r="W80" s="80"/>
      <c r="X80" s="80"/>
      <c r="Y80" s="80"/>
      <c r="Z80" s="80"/>
      <c r="AA80" s="80"/>
      <c r="AB80" s="80"/>
      <c r="AC80" s="80"/>
    </row>
    <row r="81" spans="23:29" x14ac:dyDescent="0.25">
      <c r="W81" s="80"/>
      <c r="X81" s="80"/>
      <c r="Y81" s="80"/>
      <c r="Z81" s="80"/>
      <c r="AA81" s="80"/>
      <c r="AB81" s="80"/>
      <c r="AC81" s="80"/>
    </row>
  </sheetData>
  <dataConsolidate/>
  <mergeCells count="85">
    <mergeCell ref="A71:B71"/>
    <mergeCell ref="C71:D71"/>
    <mergeCell ref="A72:B72"/>
    <mergeCell ref="C72:D72"/>
    <mergeCell ref="C40:D40"/>
    <mergeCell ref="A68:B68"/>
    <mergeCell ref="C68:D68"/>
    <mergeCell ref="A69:B69"/>
    <mergeCell ref="C69:D69"/>
    <mergeCell ref="A70:B70"/>
    <mergeCell ref="C70:D70"/>
    <mergeCell ref="A65:B65"/>
    <mergeCell ref="C65:D65"/>
    <mergeCell ref="A66:B66"/>
    <mergeCell ref="C66:D66"/>
    <mergeCell ref="A67:B67"/>
    <mergeCell ref="A60:B60"/>
    <mergeCell ref="C60:D60"/>
    <mergeCell ref="A61:B61"/>
    <mergeCell ref="C61:D61"/>
    <mergeCell ref="C67:D67"/>
    <mergeCell ref="A62:B62"/>
    <mergeCell ref="C62:D62"/>
    <mergeCell ref="A63:B63"/>
    <mergeCell ref="C63:D63"/>
    <mergeCell ref="A64:B64"/>
    <mergeCell ref="C64:D64"/>
    <mergeCell ref="A57:B57"/>
    <mergeCell ref="C57:D57"/>
    <mergeCell ref="A58:B58"/>
    <mergeCell ref="C58:D58"/>
    <mergeCell ref="A59:B59"/>
    <mergeCell ref="C59:D59"/>
    <mergeCell ref="A55:B55"/>
    <mergeCell ref="C55:D55"/>
    <mergeCell ref="A53:B53"/>
    <mergeCell ref="A56:B56"/>
    <mergeCell ref="C56:D56"/>
    <mergeCell ref="A73:B73"/>
    <mergeCell ref="A40:B40"/>
    <mergeCell ref="A41:B41"/>
    <mergeCell ref="C41:D41"/>
    <mergeCell ref="A42:B42"/>
    <mergeCell ref="C42:D42"/>
    <mergeCell ref="A43:B43"/>
    <mergeCell ref="C43:D43"/>
    <mergeCell ref="A44:B44"/>
    <mergeCell ref="C44:D44"/>
    <mergeCell ref="A45:B45"/>
    <mergeCell ref="C45:D45"/>
    <mergeCell ref="A46:B46"/>
    <mergeCell ref="C53:D53"/>
    <mergeCell ref="A54:B54"/>
    <mergeCell ref="C54:D54"/>
    <mergeCell ref="AA61:AB61"/>
    <mergeCell ref="M12:N12"/>
    <mergeCell ref="W46:X46"/>
    <mergeCell ref="Y46:Z46"/>
    <mergeCell ref="K27:O29"/>
    <mergeCell ref="I12:J12"/>
    <mergeCell ref="K12:L12"/>
    <mergeCell ref="Q37:U37"/>
    <mergeCell ref="W61:X61"/>
    <mergeCell ref="Y61:Z61"/>
    <mergeCell ref="C49:D49"/>
    <mergeCell ref="C46:D46"/>
    <mergeCell ref="A47:B47"/>
    <mergeCell ref="C47:D47"/>
    <mergeCell ref="AA46:AB46"/>
    <mergeCell ref="K1:L1"/>
    <mergeCell ref="D1:E1"/>
    <mergeCell ref="D2:E2"/>
    <mergeCell ref="A52:B52"/>
    <mergeCell ref="C52:D52"/>
    <mergeCell ref="G12:H12"/>
    <mergeCell ref="C27:D27"/>
    <mergeCell ref="E27:F27"/>
    <mergeCell ref="G27:H27"/>
    <mergeCell ref="A50:B50"/>
    <mergeCell ref="C50:D50"/>
    <mergeCell ref="A51:B51"/>
    <mergeCell ref="C51:D51"/>
    <mergeCell ref="A48:B48"/>
    <mergeCell ref="C48:D48"/>
    <mergeCell ref="A49:B49"/>
  </mergeCells>
  <conditionalFormatting sqref="G4:L4">
    <cfRule type="expression" dxfId="10" priority="22">
      <formula>$D$6="Videreutdanning"</formula>
    </cfRule>
  </conditionalFormatting>
  <conditionalFormatting sqref="G1:L3 G8:L9">
    <cfRule type="expression" dxfId="9" priority="5">
      <formula>$D$6="Etterutdanning"</formula>
    </cfRule>
  </conditionalFormatting>
  <conditionalFormatting sqref="I41">
    <cfRule type="cellIs" dxfId="8" priority="3" operator="between">
      <formula>-1</formula>
      <formula>1</formula>
    </cfRule>
    <cfRule type="expression" dxfId="7" priority="4">
      <formula>"abs($I$41)&lt;1"</formula>
    </cfRule>
  </conditionalFormatting>
  <conditionalFormatting sqref="G12:L12 C27:H27 E40:G40">
    <cfRule type="expression" dxfId="6" priority="2">
      <formula>$D$3=""</formula>
    </cfRule>
  </conditionalFormatting>
  <dataValidations count="12">
    <dataValidation type="list" allowBlank="1" showInputMessage="1" showErrorMessage="1" sqref="B14:B26 C24" xr:uid="{00000000-0002-0000-0100-000000000000}">
      <formula1>Stilling</formula1>
    </dataValidation>
    <dataValidation type="list" allowBlank="1" showInputMessage="1" showErrorMessage="1" sqref="K8" xr:uid="{00000000-0002-0000-0100-000001000000}">
      <formula1>Fin.kat</formula1>
    </dataValidation>
    <dataValidation type="list" allowBlank="1" showInputMessage="1" showErrorMessage="1" sqref="K1" xr:uid="{00000000-0002-0000-0100-000002000000}">
      <formula1>Aktivitet</formula1>
    </dataValidation>
    <dataValidation type="list" allowBlank="1" showInputMessage="1" showErrorMessage="1" sqref="A42:A72" xr:uid="{00000000-0002-0000-0100-000003000000}">
      <formula1>Drift</formula1>
    </dataValidation>
    <dataValidation type="list" allowBlank="1" showInputMessage="1" showErrorMessage="1" sqref="D25:D26 E14:E24" xr:uid="{00000000-0002-0000-0100-000004000000}">
      <formula1>Priskategori</formula1>
    </dataValidation>
    <dataValidation type="list" allowBlank="1" showInputMessage="1" showErrorMessage="1" sqref="C14:C23" xr:uid="{00000000-0002-0000-0100-000005000000}">
      <formula1>"Timefør.,Ompost."</formula1>
    </dataValidation>
    <dataValidation type="list" allowBlank="1" showInputMessage="1" showErrorMessage="1" sqref="B29:B36" xr:uid="{00000000-0002-0000-0100-000006000000}">
      <formula1>"NTNU-ansatt,Ekstern"</formula1>
    </dataValidation>
    <dataValidation type="list" allowBlank="1" showInputMessage="1" showErrorMessage="1" sqref="K9" xr:uid="{00000000-0002-0000-0100-000007000000}">
      <formula1>"a,b,c,d"</formula1>
    </dataValidation>
    <dataValidation type="list" allowBlank="1" showInputMessage="1" showErrorMessage="1" sqref="A41:B41" xr:uid="{00000000-0002-0000-0100-000008000000}">
      <formula1>"Leiested - undervisningsrom NTNU"</formula1>
    </dataValidation>
    <dataValidation type="list" allowBlank="1" showInputMessage="1" showErrorMessage="1" sqref="D6" xr:uid="{00000000-0002-0000-0100-000009000000}">
      <formula1>Type</formula1>
    </dataValidation>
    <dataValidation type="date" operator="lessThanOrEqual" allowBlank="1" showInputMessage="1" showErrorMessage="1" error="Modellen bygger på at aktiviteten er avsluttet innen utløpet av år 3. Sluttdato må derfor være 31.12.2021 eller tidligere" sqref="D4" xr:uid="{00000000-0002-0000-0100-00000A000000}">
      <formula1>44926</formula1>
    </dataValidation>
    <dataValidation type="date" operator="greaterThan" allowBlank="1" showInputMessage="1" showErrorMessage="1" sqref="D3" xr:uid="{FD6F8A0B-AB7C-4209-AF42-85B67AA90B55}">
      <formula1>44196</formula1>
    </dataValidation>
  </dataValidation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Ark6"/>
  <dimension ref="A1:O56"/>
  <sheetViews>
    <sheetView zoomScale="90" zoomScaleNormal="90" workbookViewId="0">
      <selection activeCell="B14" sqref="B14"/>
    </sheetView>
  </sheetViews>
  <sheetFormatPr defaultColWidth="11.42578125" defaultRowHeight="15" x14ac:dyDescent="0.25"/>
  <cols>
    <col min="1" max="1" width="46.42578125" customWidth="1"/>
    <col min="2" max="2" width="12.28515625" bestFit="1" customWidth="1"/>
    <col min="3" max="3" width="15.42578125" bestFit="1" customWidth="1"/>
    <col min="4" max="4" width="12.42578125" bestFit="1" customWidth="1"/>
    <col min="5" max="5" width="13.5703125" bestFit="1" customWidth="1"/>
    <col min="6" max="6" width="11.28515625" customWidth="1"/>
    <col min="7" max="7" width="23.140625" style="177" customWidth="1"/>
    <col min="9" max="9" width="30.140625" customWidth="1"/>
    <col min="12" max="12" width="15.85546875" customWidth="1"/>
    <col min="13" max="13" width="12.7109375" bestFit="1" customWidth="1"/>
    <col min="14" max="14" width="35.42578125" customWidth="1"/>
  </cols>
  <sheetData>
    <row r="1" spans="1:14" ht="23.25" x14ac:dyDescent="0.35">
      <c r="A1" s="74" t="s">
        <v>349</v>
      </c>
      <c r="B1" s="75"/>
      <c r="C1" s="74">
        <f>'1.Budsjettinput'!D1</f>
        <v>0</v>
      </c>
      <c r="D1" s="75"/>
    </row>
    <row r="2" spans="1:14" ht="21" x14ac:dyDescent="0.35">
      <c r="A2" s="76" t="s">
        <v>350</v>
      </c>
      <c r="B2" s="76"/>
      <c r="C2" s="77">
        <f>'1.Budsjettinput'!D6</f>
        <v>0</v>
      </c>
      <c r="D2" s="75"/>
      <c r="G2" s="224"/>
    </row>
    <row r="3" spans="1:14" ht="21" x14ac:dyDescent="0.35">
      <c r="A3" s="76" t="s">
        <v>351</v>
      </c>
      <c r="B3" s="76"/>
      <c r="C3" s="222">
        <f>'1.Budsjettinput'!K1</f>
        <v>0</v>
      </c>
      <c r="D3" s="75"/>
      <c r="G3" s="224"/>
    </row>
    <row r="4" spans="1:14" ht="21" x14ac:dyDescent="0.35">
      <c r="A4" s="76" t="s">
        <v>352</v>
      </c>
      <c r="B4" s="76"/>
      <c r="C4" s="221">
        <f>'1.Budsjettinput'!K6</f>
        <v>0</v>
      </c>
      <c r="D4" s="75"/>
      <c r="E4" s="177"/>
      <c r="F4" s="218"/>
    </row>
    <row r="5" spans="1:14" ht="21" x14ac:dyDescent="0.35">
      <c r="A5" s="76" t="s">
        <v>306</v>
      </c>
      <c r="B5" s="76"/>
      <c r="C5" s="222">
        <f>'1.Budsjettinput'!K8</f>
        <v>0</v>
      </c>
      <c r="D5" s="75"/>
    </row>
    <row r="6" spans="1:14" ht="21" x14ac:dyDescent="0.35">
      <c r="A6" s="76" t="s">
        <v>360</v>
      </c>
      <c r="B6" s="76"/>
      <c r="C6" s="222">
        <f>'1.Budsjettinput'!K9</f>
        <v>0</v>
      </c>
      <c r="D6" s="75"/>
      <c r="H6" s="157"/>
    </row>
    <row r="7" spans="1:14" ht="15.75" thickBot="1" x14ac:dyDescent="0.3"/>
    <row r="8" spans="1:14" ht="15.75" thickBot="1" x14ac:dyDescent="0.3">
      <c r="H8" s="331" t="s">
        <v>270</v>
      </c>
      <c r="I8" s="332"/>
      <c r="J8" s="332"/>
      <c r="K8" s="332"/>
      <c r="L8" s="332"/>
      <c r="M8" s="333"/>
    </row>
    <row r="9" spans="1:14" x14ac:dyDescent="0.25">
      <c r="A9" s="334" t="s">
        <v>143</v>
      </c>
      <c r="B9" s="335"/>
      <c r="C9" s="335"/>
      <c r="D9" s="335"/>
      <c r="E9" s="336"/>
      <c r="H9" s="28" t="s">
        <v>259</v>
      </c>
      <c r="I9" s="1" t="s">
        <v>260</v>
      </c>
      <c r="J9" s="1" t="s">
        <v>261</v>
      </c>
      <c r="K9" s="1" t="s">
        <v>262</v>
      </c>
      <c r="L9" s="1" t="s">
        <v>274</v>
      </c>
      <c r="M9" s="125" t="s">
        <v>275</v>
      </c>
    </row>
    <row r="10" spans="1:14" x14ac:dyDescent="0.25">
      <c r="A10" s="28"/>
      <c r="B10" s="30">
        <f>'1.Budsjettinput'!G12</f>
        <v>1900</v>
      </c>
      <c r="C10" s="30">
        <f>B10+1</f>
        <v>1901</v>
      </c>
      <c r="D10" s="30">
        <f>C10+1</f>
        <v>1902</v>
      </c>
      <c r="E10" s="22" t="s">
        <v>79</v>
      </c>
      <c r="H10" s="113">
        <v>110</v>
      </c>
      <c r="I10" s="1" t="s">
        <v>342</v>
      </c>
      <c r="J10" s="1" t="s">
        <v>263</v>
      </c>
      <c r="K10" s="265">
        <f>SUM('1.Budsjettinput'!M14:M23)</f>
        <v>0</v>
      </c>
      <c r="L10" s="158">
        <f>IF(K10&gt;0,"Snitt:   "&amp; ROUND('1.Budsjettinput'!Y24,0),M10)</f>
        <v>0</v>
      </c>
      <c r="M10" s="161">
        <f>K10*ROUND('1.Budsjettinput'!Y24,2)</f>
        <v>0</v>
      </c>
      <c r="N10" s="162" t="s">
        <v>283</v>
      </c>
    </row>
    <row r="11" spans="1:14" x14ac:dyDescent="0.25">
      <c r="A11" s="155" t="s">
        <v>278</v>
      </c>
      <c r="B11" s="23">
        <f>'1.Budsjettinput'!R11+'1.Budsjettinput'!R12</f>
        <v>0</v>
      </c>
      <c r="C11" s="23">
        <f>'1.Budsjettinput'!S11+'1.Budsjettinput'!S12</f>
        <v>0</v>
      </c>
      <c r="D11" s="23">
        <f>'1.Budsjettinput'!T11+'1.Budsjettinput'!T12</f>
        <v>0</v>
      </c>
      <c r="E11" s="25">
        <f>SUM(B11:D11)</f>
        <v>0</v>
      </c>
      <c r="H11" s="214" t="s">
        <v>343</v>
      </c>
      <c r="I11" s="1" t="s">
        <v>344</v>
      </c>
      <c r="J11" s="1" t="s">
        <v>265</v>
      </c>
      <c r="K11" s="265"/>
      <c r="L11" s="42">
        <f>IF(K11&gt;0,M11/K11,M11)</f>
        <v>0</v>
      </c>
      <c r="M11" s="161">
        <f>'1.Budsjettinput'!U12+'1.Budsjettinput'!N24-'2. Oppsummering Budsjett'!M10</f>
        <v>0</v>
      </c>
      <c r="N11" s="162" t="s">
        <v>284</v>
      </c>
    </row>
    <row r="12" spans="1:14" x14ac:dyDescent="0.25">
      <c r="A12" s="155" t="s">
        <v>279</v>
      </c>
      <c r="B12" s="23">
        <f>'1.Budsjettinput'!R13+'1.Budsjettinput'!R14</f>
        <v>0</v>
      </c>
      <c r="C12" s="23">
        <f>'1.Budsjettinput'!S13+'1.Budsjettinput'!S14</f>
        <v>0</v>
      </c>
      <c r="D12" s="23">
        <f>'1.Budsjettinput'!T13+'1.Budsjettinput'!T14</f>
        <v>0</v>
      </c>
      <c r="E12" s="25">
        <f>SUM(B12:D12)</f>
        <v>0</v>
      </c>
      <c r="H12" s="113" t="s">
        <v>345</v>
      </c>
      <c r="I12" s="1" t="s">
        <v>346</v>
      </c>
      <c r="J12" s="1" t="s">
        <v>265</v>
      </c>
      <c r="K12" s="265"/>
      <c r="L12" s="42">
        <f>IF(K12&gt;0,M12/K12,M12)</f>
        <v>0</v>
      </c>
      <c r="M12" s="161">
        <f>'1.Budsjettinput'!U13</f>
        <v>0</v>
      </c>
    </row>
    <row r="13" spans="1:14" x14ac:dyDescent="0.25">
      <c r="A13" s="155" t="s">
        <v>280</v>
      </c>
      <c r="B13" s="23">
        <f>'1.Budsjettinput'!R15</f>
        <v>0</v>
      </c>
      <c r="C13" s="23">
        <f>'1.Budsjettinput'!S15</f>
        <v>0</v>
      </c>
      <c r="D13" s="23">
        <f>'1.Budsjettinput'!T15</f>
        <v>0</v>
      </c>
      <c r="E13" s="25">
        <f>SUM(B13:D13)</f>
        <v>0</v>
      </c>
      <c r="G13" s="185"/>
      <c r="H13" s="279" t="s">
        <v>437</v>
      </c>
      <c r="I13" s="280" t="s">
        <v>356</v>
      </c>
      <c r="J13" s="1" t="s">
        <v>265</v>
      </c>
      <c r="K13" s="166">
        <v>1</v>
      </c>
      <c r="L13" s="42">
        <f>M13</f>
        <v>0</v>
      </c>
      <c r="M13" s="161">
        <f>'1.Budsjettinput'!U14</f>
        <v>0</v>
      </c>
      <c r="N13" s="330"/>
    </row>
    <row r="14" spans="1:14" x14ac:dyDescent="0.25">
      <c r="A14" s="156" t="s">
        <v>313</v>
      </c>
      <c r="B14" s="264"/>
      <c r="C14" s="264"/>
      <c r="D14" s="264"/>
      <c r="E14" s="233">
        <f>IF('1.Budsjettinput'!D6="Videreutdanning",'1.Budsjettinput'!D8*'1.Budsjettinput'!K3*IK_SP,'1.Budsjettinput'!D8*'1.Budsjettinput'!K4*IK_UT)</f>
        <v>0</v>
      </c>
      <c r="F14" s="231">
        <f>E14-SUM(B14:D14)</f>
        <v>0</v>
      </c>
      <c r="G14" s="186" t="str">
        <f>IF(F14=0," ","Fordel IK pr. år")</f>
        <v xml:space="preserve"> </v>
      </c>
      <c r="H14" s="279">
        <v>9117</v>
      </c>
      <c r="I14" s="280" t="s">
        <v>433</v>
      </c>
      <c r="J14" s="80" t="s">
        <v>265</v>
      </c>
      <c r="K14" s="166">
        <v>1</v>
      </c>
      <c r="L14" s="42">
        <f t="shared" ref="L14:L20" si="0">IF(K14&gt;0,M14/K14,M14)</f>
        <v>0</v>
      </c>
      <c r="M14" s="161">
        <f>E14</f>
        <v>0</v>
      </c>
      <c r="N14" s="330"/>
    </row>
    <row r="15" spans="1:14" x14ac:dyDescent="0.25">
      <c r="A15" s="156" t="s">
        <v>315</v>
      </c>
      <c r="B15" s="23">
        <f>'1.Budsjettinput'!R42</f>
        <v>0</v>
      </c>
      <c r="C15" s="23">
        <f>'1.Budsjettinput'!S42</f>
        <v>0</v>
      </c>
      <c r="D15" s="23">
        <f>'1.Budsjettinput'!T42</f>
        <v>0</v>
      </c>
      <c r="E15" s="25">
        <f>SUM(B15:D15)</f>
        <v>0</v>
      </c>
      <c r="H15" s="279">
        <v>9116</v>
      </c>
      <c r="I15" s="163" t="s">
        <v>434</v>
      </c>
      <c r="J15" s="1" t="s">
        <v>265</v>
      </c>
      <c r="K15" s="265"/>
      <c r="L15" s="42">
        <f t="shared" si="0"/>
        <v>0</v>
      </c>
      <c r="M15" s="161">
        <f>'1.Budsjettinput'!U15-(M10-M10/1.4)</f>
        <v>0</v>
      </c>
    </row>
    <row r="16" spans="1:14" x14ac:dyDescent="0.25">
      <c r="A16" s="156" t="s">
        <v>325</v>
      </c>
      <c r="B16" s="23">
        <f>'1.Budsjettinput'!R43</f>
        <v>0</v>
      </c>
      <c r="C16" s="23">
        <f>'1.Budsjettinput'!S43</f>
        <v>0</v>
      </c>
      <c r="D16" s="23">
        <f>'1.Budsjettinput'!T43</f>
        <v>0</v>
      </c>
      <c r="E16" s="25">
        <f>SUM(B16:D16)</f>
        <v>0</v>
      </c>
      <c r="H16" s="165" t="s">
        <v>287</v>
      </c>
      <c r="I16" s="163" t="s">
        <v>285</v>
      </c>
      <c r="J16" s="163" t="s">
        <v>265</v>
      </c>
      <c r="K16" s="166">
        <v>-1</v>
      </c>
      <c r="L16" s="42">
        <f>-M16</f>
        <v>0</v>
      </c>
      <c r="M16" s="161">
        <f>-M17</f>
        <v>0</v>
      </c>
    </row>
    <row r="17" spans="1:15" x14ac:dyDescent="0.25">
      <c r="A17" s="19" t="s">
        <v>136</v>
      </c>
      <c r="B17" s="23">
        <f>'1.Budsjettinput'!R47-'2. Oppsummering Budsjett'!B15-'2. Oppsummering Budsjett'!B16</f>
        <v>0</v>
      </c>
      <c r="C17" s="23">
        <f>'1.Budsjettinput'!S47-'2. Oppsummering Budsjett'!C15-'2. Oppsummering Budsjett'!C16</f>
        <v>0</v>
      </c>
      <c r="D17" s="23">
        <f>'1.Budsjettinput'!T47-'2. Oppsummering Budsjett'!D15-'2. Oppsummering Budsjett'!D16</f>
        <v>0</v>
      </c>
      <c r="E17" s="25">
        <f>SUM(B17:D17)</f>
        <v>0</v>
      </c>
      <c r="H17" s="165" t="s">
        <v>288</v>
      </c>
      <c r="I17" s="163" t="s">
        <v>286</v>
      </c>
      <c r="J17" s="163" t="s">
        <v>265</v>
      </c>
      <c r="K17" s="166">
        <v>1</v>
      </c>
      <c r="L17" s="42">
        <f>M17</f>
        <v>0</v>
      </c>
      <c r="M17" s="161">
        <f>'1.Budsjettinput'!N24-'1.Budsjettinput'!U11</f>
        <v>0</v>
      </c>
    </row>
    <row r="18" spans="1:15" ht="15.75" thickBot="1" x14ac:dyDescent="0.3">
      <c r="A18" s="21" t="s">
        <v>79</v>
      </c>
      <c r="B18" s="24">
        <f>SUM(B11:B17)</f>
        <v>0</v>
      </c>
      <c r="C18" s="24">
        <f>SUM(C11:C17)</f>
        <v>0</v>
      </c>
      <c r="D18" s="24">
        <f>SUM(D11:D17)</f>
        <v>0</v>
      </c>
      <c r="E18" s="26">
        <f>SUM(E11:E17)</f>
        <v>0</v>
      </c>
      <c r="F18" s="232">
        <f>SUM(B18:D18)-SUM(E11:E17)</f>
        <v>0</v>
      </c>
      <c r="H18" s="28" t="s">
        <v>266</v>
      </c>
      <c r="I18" s="1" t="s">
        <v>267</v>
      </c>
      <c r="J18" s="1" t="s">
        <v>265</v>
      </c>
      <c r="K18" s="265"/>
      <c r="L18" s="42">
        <f t="shared" si="0"/>
        <v>0</v>
      </c>
      <c r="M18" s="161">
        <f>'1.Budsjettinput'!U47-M19-M20</f>
        <v>0</v>
      </c>
    </row>
    <row r="19" spans="1:15" ht="15.75" thickBot="1" x14ac:dyDescent="0.3">
      <c r="H19" s="113" t="s">
        <v>341</v>
      </c>
      <c r="I19" s="1" t="s">
        <v>340</v>
      </c>
      <c r="J19" s="1" t="s">
        <v>265</v>
      </c>
      <c r="K19" s="265"/>
      <c r="L19" s="42">
        <f t="shared" si="0"/>
        <v>0</v>
      </c>
      <c r="M19" s="161">
        <f>'1.Budsjettinput'!U40</f>
        <v>0</v>
      </c>
    </row>
    <row r="20" spans="1:15" x14ac:dyDescent="0.25">
      <c r="A20" s="334" t="s">
        <v>144</v>
      </c>
      <c r="B20" s="335"/>
      <c r="C20" s="335"/>
      <c r="D20" s="335"/>
      <c r="E20" s="336"/>
      <c r="H20" s="113" t="s">
        <v>326</v>
      </c>
      <c r="I20" s="80" t="s">
        <v>264</v>
      </c>
      <c r="J20" s="80" t="s">
        <v>265</v>
      </c>
      <c r="K20" s="265"/>
      <c r="L20" s="42">
        <f t="shared" si="0"/>
        <v>0</v>
      </c>
      <c r="M20" s="161">
        <f>'1.Budsjettinput'!U45</f>
        <v>0</v>
      </c>
      <c r="O20" s="185"/>
    </row>
    <row r="21" spans="1:15" x14ac:dyDescent="0.25">
      <c r="A21" s="31"/>
      <c r="B21" s="30">
        <f>B10</f>
        <v>1900</v>
      </c>
      <c r="C21" s="30">
        <f>B21+1</f>
        <v>1901</v>
      </c>
      <c r="D21" s="30">
        <f>C21+1</f>
        <v>1902</v>
      </c>
      <c r="E21" s="32" t="s">
        <v>79</v>
      </c>
      <c r="H21" s="28"/>
      <c r="I21" s="103" t="s">
        <v>268</v>
      </c>
      <c r="J21" s="103"/>
      <c r="K21" s="103"/>
      <c r="L21" s="123"/>
      <c r="M21" s="25">
        <f>SUM(M10:M20)</f>
        <v>0</v>
      </c>
    </row>
    <row r="22" spans="1:15" x14ac:dyDescent="0.25">
      <c r="A22" s="49" t="s">
        <v>362</v>
      </c>
      <c r="B22" s="265"/>
      <c r="C22" s="265"/>
      <c r="D22" s="265">
        <v>0</v>
      </c>
      <c r="E22" s="25">
        <f>'1.Budsjettinput'!D8*'1.Budsjettinput'!K6</f>
        <v>0</v>
      </c>
      <c r="F22" s="231">
        <f>E22-SUM(B22:D22)</f>
        <v>0</v>
      </c>
      <c r="G22" s="186" t="str">
        <f>IF(F22=0," ","Fordel pr. år")</f>
        <v xml:space="preserve"> </v>
      </c>
      <c r="H22" s="28"/>
      <c r="I22" s="1"/>
      <c r="J22" s="1"/>
      <c r="K22" s="1"/>
      <c r="L22" s="1"/>
      <c r="M22" s="36"/>
    </row>
    <row r="23" spans="1:15" x14ac:dyDescent="0.25">
      <c r="A23" s="19" t="s">
        <v>142</v>
      </c>
      <c r="B23" s="29">
        <f>SUM(B22:B22)</f>
        <v>0</v>
      </c>
      <c r="C23" s="29">
        <f>SUM(C22:C22)</f>
        <v>0</v>
      </c>
      <c r="D23" s="29">
        <f>SUM(D22:D22)</f>
        <v>0</v>
      </c>
      <c r="E23" s="25">
        <f>SUM(B23:D23)</f>
        <v>0</v>
      </c>
      <c r="H23" s="113">
        <v>9065</v>
      </c>
      <c r="I23" s="1" t="s">
        <v>269</v>
      </c>
      <c r="J23" s="1" t="s">
        <v>265</v>
      </c>
      <c r="K23" s="1"/>
      <c r="L23" s="124"/>
      <c r="M23" s="196" t="e">
        <f>IF(D29&lt;&gt;" ",M21*ROUND(D29,2),"I/A")</f>
        <v>#DIV/0!</v>
      </c>
      <c r="N23" s="28"/>
    </row>
    <row r="24" spans="1:15" x14ac:dyDescent="0.25">
      <c r="A24" s="19"/>
      <c r="B24" s="23"/>
      <c r="C24" s="23"/>
      <c r="D24" s="23"/>
      <c r="E24" s="25"/>
      <c r="H24" s="28"/>
      <c r="I24" s="1"/>
      <c r="J24" s="1"/>
      <c r="K24" s="1"/>
      <c r="L24" s="1"/>
      <c r="M24" s="36"/>
      <c r="N24" s="28"/>
    </row>
    <row r="25" spans="1:15" x14ac:dyDescent="0.25">
      <c r="A25" s="33" t="s">
        <v>359</v>
      </c>
      <c r="B25" s="265"/>
      <c r="C25" s="265"/>
      <c r="D25" s="265"/>
      <c r="E25" s="25">
        <f>SUM(B25:D25)</f>
        <v>0</v>
      </c>
      <c r="H25" s="154" t="e">
        <f>IF(D29&lt;&gt;" ","Maconomy vil vise feil egenfinansiering pga. avrunding - nøyaktig egenfinansiering er "," ")</f>
        <v>#DIV/0!</v>
      </c>
      <c r="M25" s="126" t="e">
        <f>IF(D29&lt;&gt;" ",ROUND(E26,0),"")</f>
        <v>#DIV/0!</v>
      </c>
    </row>
    <row r="26" spans="1:15" x14ac:dyDescent="0.25">
      <c r="A26" s="19" t="str">
        <f>IF(E23&gt;E18,"Forventet fortjeneste","Instituttets egenfinansiering ")</f>
        <v xml:space="preserve">Instituttets egenfinansiering </v>
      </c>
      <c r="B26" s="23">
        <f>IF($E$23&gt;$E$18,-(B18-B23-B25),B18-B23-B25)</f>
        <v>0</v>
      </c>
      <c r="C26" s="23">
        <f>IF($E$23&gt;$E$18,-(C18-C23-C25),C18-C23-C25)</f>
        <v>0</v>
      </c>
      <c r="D26" s="23">
        <f>IF($E$23&gt;$E$18,-(D18-D23-D25),D18-D23-D25)</f>
        <v>0</v>
      </c>
      <c r="E26" s="25">
        <f>SUM(B26:D26)</f>
        <v>0</v>
      </c>
      <c r="H26" s="28"/>
      <c r="M26" s="36"/>
      <c r="N26" s="28"/>
    </row>
    <row r="27" spans="1:15" ht="15.75" thickBot="1" x14ac:dyDescent="0.3">
      <c r="A27" s="21" t="s">
        <v>327</v>
      </c>
      <c r="B27" s="24">
        <f>IF($E$23&gt;$E$18,B23,SUM(B23:B26))</f>
        <v>0</v>
      </c>
      <c r="C27" s="24">
        <f>IF($E$23&gt;$E$18,C23,SUM(C23:C26))</f>
        <v>0</v>
      </c>
      <c r="D27" s="24">
        <f>IF($E$23&gt;$E$18,D23,SUM(D23:D26))</f>
        <v>0</v>
      </c>
      <c r="E27" s="26">
        <f>SUM(B27:D27)</f>
        <v>0</v>
      </c>
      <c r="H27" s="37"/>
      <c r="I27" s="38"/>
      <c r="J27" s="38"/>
      <c r="K27" s="38"/>
      <c r="L27" s="38"/>
    </row>
    <row r="28" spans="1:15" x14ac:dyDescent="0.25">
      <c r="M28" s="40"/>
    </row>
    <row r="29" spans="1:15" ht="23.25" x14ac:dyDescent="0.35">
      <c r="A29" s="276" t="str">
        <f>IF('1.Budsjettinput'!D6="Etterutdanning","Egenfinansieringsandel (over prosjektets levetid)",IF('1.Budsjettinput'!K1="Øk. Aktivitet",IF(D29&lt;&gt;" ","Budsjettert underskudd - registreres IKKE i Maconomy",""),""))</f>
        <v/>
      </c>
      <c r="B29" s="35"/>
      <c r="C29" s="34"/>
      <c r="D29" s="195" t="e">
        <f>IF(E23&gt;E18," ",E26/E18)</f>
        <v>#DIV/0!</v>
      </c>
      <c r="E29" s="218" t="str">
        <f>IF('1.Budsjettinput'!D6="Etterutdanning",IF(D29&lt;&gt;" ","Kurset er økonomisk aktivitet - og må fullfinansieres. Vurder egenbetalingen eller reduser kostnadene",""),IF('1.Budsjettinput'!K1="Øk. Aktivitet",IF(D29&lt;&gt;" ","Kurset er økonomisk aktivitet. Kurset kan, til tross for at det ikke er regnskapsm. fullfinansiert, anses som fullfinansiert - og derved lovlig - i henhold til KDs regler",""),""))</f>
        <v/>
      </c>
    </row>
    <row r="30" spans="1:15" s="177" customFormat="1" ht="23.25" x14ac:dyDescent="0.35">
      <c r="A30" s="273"/>
      <c r="B30" s="274"/>
      <c r="C30" s="110"/>
      <c r="D30" s="275"/>
      <c r="E30" s="339" t="str">
        <f>IF('1.Budsjettinput'!D6="Videreutdanning",IF(E29&lt;&gt;"","Dette beregnes i simuleringsverktøyet (Budsjettmodell EVU)",""),"")</f>
        <v/>
      </c>
      <c r="F30" s="339"/>
      <c r="G30" s="339"/>
      <c r="H30"/>
      <c r="I30"/>
      <c r="J30"/>
      <c r="K30"/>
      <c r="L30"/>
      <c r="M30"/>
    </row>
    <row r="31" spans="1:15" ht="18.75" customHeight="1" thickBot="1" x14ac:dyDescent="0.3">
      <c r="E31" s="339"/>
      <c r="F31" s="339"/>
      <c r="G31" s="339"/>
      <c r="H31" s="177"/>
      <c r="I31" s="177"/>
      <c r="J31" s="177"/>
      <c r="K31" s="177"/>
      <c r="L31" s="177"/>
      <c r="M31" s="177"/>
    </row>
    <row r="32" spans="1:15" ht="20.25" x14ac:dyDescent="0.3">
      <c r="A32" s="238"/>
      <c r="B32" s="230"/>
      <c r="C32" s="230"/>
      <c r="D32" s="230"/>
      <c r="E32" s="271"/>
      <c r="F32" s="271"/>
      <c r="G32" s="272"/>
      <c r="H32" s="334" t="s">
        <v>363</v>
      </c>
      <c r="I32" s="335"/>
      <c r="J32" s="335"/>
      <c r="K32" s="335"/>
      <c r="L32" s="335"/>
      <c r="M32" s="336"/>
    </row>
    <row r="33" spans="1:13" x14ac:dyDescent="0.25">
      <c r="A33" s="239"/>
      <c r="B33" s="237"/>
      <c r="C33" s="237"/>
      <c r="D33" s="237"/>
      <c r="E33" s="240"/>
      <c r="H33" s="28"/>
      <c r="I33" s="30"/>
      <c r="J33" s="30">
        <f t="shared" ref="J33:L34" si="1">B10</f>
        <v>1900</v>
      </c>
      <c r="K33" s="30">
        <f t="shared" si="1"/>
        <v>1901</v>
      </c>
      <c r="L33" s="30">
        <f t="shared" si="1"/>
        <v>1902</v>
      </c>
      <c r="M33" s="22" t="s">
        <v>79</v>
      </c>
    </row>
    <row r="34" spans="1:13" x14ac:dyDescent="0.25">
      <c r="A34" s="239"/>
      <c r="B34" s="237"/>
      <c r="C34" s="237"/>
      <c r="D34" s="237"/>
      <c r="E34" s="240"/>
      <c r="H34" s="337" t="s">
        <v>367</v>
      </c>
      <c r="I34" s="338"/>
      <c r="J34" s="23">
        <f t="shared" si="1"/>
        <v>0</v>
      </c>
      <c r="K34" s="23">
        <f t="shared" si="1"/>
        <v>0</v>
      </c>
      <c r="L34" s="23">
        <f t="shared" si="1"/>
        <v>0</v>
      </c>
      <c r="M34" s="25">
        <f>SUM(I34:K34)</f>
        <v>0</v>
      </c>
    </row>
    <row r="35" spans="1:13" x14ac:dyDescent="0.25">
      <c r="A35" s="239"/>
      <c r="B35" s="237"/>
      <c r="C35" s="237"/>
      <c r="D35" s="237"/>
      <c r="E35" s="240"/>
      <c r="H35" s="337" t="s">
        <v>364</v>
      </c>
      <c r="I35" s="338"/>
      <c r="J35" s="23">
        <f>'1.Budsjettinput'!R13</f>
        <v>0</v>
      </c>
      <c r="K35" s="23">
        <f>'1.Budsjettinput'!S13</f>
        <v>0</v>
      </c>
      <c r="L35" s="23">
        <f>'1.Budsjettinput'!T13</f>
        <v>0</v>
      </c>
      <c r="M35" s="25">
        <f t="shared" ref="M35:M40" si="2">SUM(I35:K35)</f>
        <v>0</v>
      </c>
    </row>
    <row r="36" spans="1:13" ht="15.75" x14ac:dyDescent="0.25">
      <c r="A36" s="96"/>
      <c r="B36" s="241"/>
      <c r="C36" s="241"/>
      <c r="D36" s="241"/>
      <c r="E36" s="281"/>
      <c r="F36" s="281"/>
      <c r="H36" s="337" t="s">
        <v>366</v>
      </c>
      <c r="I36" s="338">
        <f>'1.Budsjettinput'!Y36</f>
        <v>0</v>
      </c>
      <c r="J36" s="23">
        <f>'1.Budsjettinput'!R14</f>
        <v>0</v>
      </c>
      <c r="K36" s="23">
        <f>'1.Budsjettinput'!S14</f>
        <v>0</v>
      </c>
      <c r="L36" s="23">
        <f>'1.Budsjettinput'!T14</f>
        <v>0</v>
      </c>
      <c r="M36" s="25">
        <f t="shared" si="2"/>
        <v>0</v>
      </c>
    </row>
    <row r="37" spans="1:13" x14ac:dyDescent="0.25">
      <c r="A37" s="80"/>
      <c r="B37" s="80"/>
      <c r="C37" s="80"/>
      <c r="D37" s="80"/>
      <c r="E37" s="281"/>
      <c r="F37" s="281"/>
      <c r="H37" s="337" t="s">
        <v>365</v>
      </c>
      <c r="I37" s="338">
        <f>'1.Budsjettinput'!Y36+'1.Budsjettinput'!Y37</f>
        <v>0</v>
      </c>
      <c r="J37" s="23">
        <f>B13+B14</f>
        <v>0</v>
      </c>
      <c r="K37" s="23">
        <f>C13+C14</f>
        <v>0</v>
      </c>
      <c r="L37" s="23">
        <f>D13+D14</f>
        <v>0</v>
      </c>
      <c r="M37" s="25">
        <f t="shared" si="2"/>
        <v>0</v>
      </c>
    </row>
    <row r="38" spans="1:13" x14ac:dyDescent="0.25">
      <c r="A38" s="242"/>
      <c r="B38" s="80"/>
      <c r="C38" s="80"/>
      <c r="D38" s="80"/>
      <c r="E38" s="80"/>
      <c r="H38" s="337" t="s">
        <v>340</v>
      </c>
      <c r="I38" s="338"/>
      <c r="J38" s="217">
        <f>'1.Budsjettinput'!R40</f>
        <v>0</v>
      </c>
      <c r="K38" s="217">
        <f>'1.Budsjettinput'!S40</f>
        <v>0</v>
      </c>
      <c r="L38" s="217">
        <f>'1.Budsjettinput'!T40</f>
        <v>0</v>
      </c>
      <c r="M38" s="25">
        <f t="shared" si="2"/>
        <v>0</v>
      </c>
    </row>
    <row r="39" spans="1:13" x14ac:dyDescent="0.25">
      <c r="A39" s="239"/>
      <c r="B39" s="217"/>
      <c r="C39" s="217"/>
      <c r="D39" s="217"/>
      <c r="E39" s="243"/>
      <c r="H39" s="337" t="s">
        <v>361</v>
      </c>
      <c r="I39" s="338">
        <f>'1.Budsjettinput'!Y64</f>
        <v>0</v>
      </c>
      <c r="J39" s="23">
        <f>'1.Budsjettinput'!R45</f>
        <v>0</v>
      </c>
      <c r="K39" s="23">
        <f>'1.Budsjettinput'!S45</f>
        <v>0</v>
      </c>
      <c r="L39" s="23">
        <f>'1.Budsjettinput'!T45</f>
        <v>0</v>
      </c>
      <c r="M39" s="25">
        <f t="shared" si="2"/>
        <v>0</v>
      </c>
    </row>
    <row r="40" spans="1:13" x14ac:dyDescent="0.25">
      <c r="A40" s="239"/>
      <c r="B40" s="217"/>
      <c r="C40" s="217"/>
      <c r="D40" s="217"/>
      <c r="E40" s="243"/>
      <c r="H40" s="337" t="s">
        <v>136</v>
      </c>
      <c r="I40" s="338">
        <f>'1.Budsjettinput'!Y65</f>
        <v>0</v>
      </c>
      <c r="J40" s="23">
        <f>'1.Budsjettinput'!R47-'2. Oppsummering Budsjett'!J38-'2. Oppsummering Budsjett'!J39</f>
        <v>0</v>
      </c>
      <c r="K40" s="23">
        <f>'1.Budsjettinput'!S47-'2. Oppsummering Budsjett'!K38-'2. Oppsummering Budsjett'!K39</f>
        <v>0</v>
      </c>
      <c r="L40" s="23">
        <f>'1.Budsjettinput'!T47-'2. Oppsummering Budsjett'!L38-'2. Oppsummering Budsjett'!L39</f>
        <v>0</v>
      </c>
      <c r="M40" s="25">
        <f t="shared" si="2"/>
        <v>0</v>
      </c>
    </row>
    <row r="41" spans="1:13" x14ac:dyDescent="0.25">
      <c r="A41" s="239"/>
      <c r="B41" s="217"/>
      <c r="C41" s="217"/>
      <c r="D41" s="217"/>
      <c r="E41" s="243"/>
      <c r="H41" s="337"/>
      <c r="I41" s="338"/>
      <c r="J41" s="23"/>
      <c r="K41" s="23"/>
      <c r="L41" s="23"/>
      <c r="M41" s="25"/>
    </row>
    <row r="42" spans="1:13" ht="15.75" thickBot="1" x14ac:dyDescent="0.3">
      <c r="A42" s="244"/>
      <c r="B42" s="217"/>
      <c r="C42" s="217"/>
      <c r="D42" s="217"/>
      <c r="E42" s="243"/>
      <c r="H42" s="340" t="s">
        <v>79</v>
      </c>
      <c r="I42" s="341"/>
      <c r="J42" s="24">
        <f>SUM(J34:J40)</f>
        <v>0</v>
      </c>
      <c r="K42" s="24">
        <f>SUM(K34:K41)</f>
        <v>0</v>
      </c>
      <c r="L42" s="24"/>
      <c r="M42" s="26">
        <f>SUM(M34:M41)</f>
        <v>0</v>
      </c>
    </row>
    <row r="43" spans="1:13" ht="15.75" x14ac:dyDescent="0.25">
      <c r="A43" s="96"/>
      <c r="B43" s="241"/>
      <c r="C43" s="241"/>
      <c r="D43" s="241"/>
      <c r="E43" s="241"/>
    </row>
    <row r="56" ht="21" customHeight="1" x14ac:dyDescent="0.25"/>
  </sheetData>
  <sheetProtection formatCells="0" formatColumns="0" formatRows="0" insertColumns="0" insertRows="0"/>
  <mergeCells count="15">
    <mergeCell ref="H41:I41"/>
    <mergeCell ref="H32:M32"/>
    <mergeCell ref="H35:I35"/>
    <mergeCell ref="E30:G31"/>
    <mergeCell ref="H42:I42"/>
    <mergeCell ref="H36:I36"/>
    <mergeCell ref="H37:I37"/>
    <mergeCell ref="H38:I38"/>
    <mergeCell ref="H39:I39"/>
    <mergeCell ref="H40:I40"/>
    <mergeCell ref="N13:N14"/>
    <mergeCell ref="H8:M8"/>
    <mergeCell ref="A9:E9"/>
    <mergeCell ref="A20:E20"/>
    <mergeCell ref="H34:I34"/>
  </mergeCells>
  <conditionalFormatting sqref="F14">
    <cfRule type="expression" dxfId="5" priority="8">
      <formula>$F$14&lt;&gt;0</formula>
    </cfRule>
  </conditionalFormatting>
  <conditionalFormatting sqref="F22">
    <cfRule type="expression" dxfId="4" priority="7">
      <formula>$F$14&lt;&gt;0</formula>
    </cfRule>
  </conditionalFormatting>
  <conditionalFormatting sqref="E18">
    <cfRule type="expression" dxfId="3" priority="6">
      <formula>$F$18&lt;&gt;0</formula>
    </cfRule>
  </conditionalFormatting>
  <conditionalFormatting sqref="A5:D6">
    <cfRule type="expression" dxfId="2" priority="3">
      <formula>$C$2="Etterutdanning"</formula>
    </cfRule>
  </conditionalFormatting>
  <conditionalFormatting sqref="D29">
    <cfRule type="expression" dxfId="1" priority="1">
      <formula>$A$29="Budsjettert underskudd - registreres IKKE i Maconomy"</formula>
    </cfRule>
  </conditionalFormatting>
  <pageMargins left="0.7" right="0.7" top="0.75" bottom="0.75" header="0.3" footer="0.3"/>
  <pageSetup paperSize="9" orientation="portrait" r:id="rId1"/>
  <legacyDrawing r:id="rId2"/>
  <extLst>
    <ext xmlns:x14="http://schemas.microsoft.com/office/spreadsheetml/2009/9/main" uri="{78C0D931-6437-407d-A8EE-F0AAD7539E65}">
      <x14:conditionalFormattings>
        <x14:conditionalFormatting xmlns:xm="http://schemas.microsoft.com/office/excel/2006/main">
          <x14:cfRule type="expression" priority="2" id="{D38F1254-FD55-4B08-A02D-E309EBF9FBA0}">
            <xm:f>'1.Budsjettinput'!$K$1:$L$1="Øk. Aktivitet"</xm:f>
            <x14:dxf>
              <font>
                <b val="0"/>
                <i val="0"/>
                <color theme="0"/>
              </font>
              <fill>
                <patternFill>
                  <bgColor theme="0"/>
                </patternFill>
              </fill>
            </x14:dxf>
          </x14:cfRule>
          <xm:sqref>H23:M25</xm:sqref>
        </x14:conditionalFormatting>
      </x14:conditionalFormatting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Ark7">
    <pageSetUpPr fitToPage="1"/>
  </sheetPr>
  <dimension ref="A1:G43"/>
  <sheetViews>
    <sheetView topLeftCell="A7" zoomScale="90" zoomScaleNormal="90" workbookViewId="0">
      <selection activeCell="G17" sqref="G17"/>
    </sheetView>
  </sheetViews>
  <sheetFormatPr defaultColWidth="8.85546875" defaultRowHeight="15" x14ac:dyDescent="0.25"/>
  <cols>
    <col min="1" max="1" width="42.85546875" customWidth="1"/>
    <col min="2" max="4" width="10.42578125" bestFit="1" customWidth="1"/>
    <col min="5" max="5" width="11.42578125" customWidth="1"/>
    <col min="6" max="6" width="4.85546875" customWidth="1"/>
    <col min="7" max="7" width="92.140625" customWidth="1"/>
  </cols>
  <sheetData>
    <row r="1" spans="1:7" ht="23.25" x14ac:dyDescent="0.35">
      <c r="A1" s="74" t="s">
        <v>349</v>
      </c>
      <c r="B1" s="75"/>
      <c r="C1" s="74">
        <f>'1.Budsjettinput'!D1</f>
        <v>0</v>
      </c>
      <c r="D1" s="75"/>
    </row>
    <row r="2" spans="1:7" ht="21" x14ac:dyDescent="0.35">
      <c r="A2" s="76" t="s">
        <v>350</v>
      </c>
      <c r="B2" s="76"/>
      <c r="C2" s="76">
        <f>'1.Budsjettinput'!D6</f>
        <v>0</v>
      </c>
      <c r="D2" s="75"/>
    </row>
    <row r="3" spans="1:7" ht="21" x14ac:dyDescent="0.35">
      <c r="A3" s="76" t="s">
        <v>351</v>
      </c>
      <c r="B3" s="76"/>
      <c r="C3" s="77">
        <f>'1.Budsjettinput'!K1</f>
        <v>0</v>
      </c>
      <c r="D3" s="75"/>
    </row>
    <row r="4" spans="1:7" ht="21" x14ac:dyDescent="0.35">
      <c r="A4" s="76" t="s">
        <v>306</v>
      </c>
      <c r="B4" s="76"/>
      <c r="C4" s="77">
        <f>'1.Budsjettinput'!K8</f>
        <v>0</v>
      </c>
      <c r="D4" s="75"/>
    </row>
    <row r="5" spans="1:7" ht="21" x14ac:dyDescent="0.35">
      <c r="A5" s="76" t="s">
        <v>353</v>
      </c>
      <c r="B5" s="76"/>
      <c r="C5" s="77">
        <f>'1.Budsjettinput'!K9</f>
        <v>0</v>
      </c>
      <c r="D5" s="75"/>
    </row>
    <row r="6" spans="1:7" ht="21" x14ac:dyDescent="0.35">
      <c r="A6" s="76" t="s">
        <v>352</v>
      </c>
      <c r="B6" s="76"/>
      <c r="C6" s="343">
        <f>'1.Budsjettinput'!K6</f>
        <v>0</v>
      </c>
      <c r="D6" s="343"/>
    </row>
    <row r="8" spans="1:7" ht="23.25" x14ac:dyDescent="0.35">
      <c r="A8" s="74" t="s">
        <v>161</v>
      </c>
    </row>
    <row r="10" spans="1:7" ht="21" x14ac:dyDescent="0.35">
      <c r="A10" s="85" t="s">
        <v>419</v>
      </c>
      <c r="B10" s="86"/>
      <c r="C10" s="86"/>
      <c r="D10" s="86"/>
      <c r="E10" s="87"/>
    </row>
    <row r="11" spans="1:7" x14ac:dyDescent="0.25">
      <c r="A11" s="88"/>
      <c r="B11" s="104">
        <f>'2. Oppsummering Budsjett'!B10</f>
        <v>1900</v>
      </c>
      <c r="C11" s="104">
        <f>B11+1</f>
        <v>1901</v>
      </c>
      <c r="D11" s="104">
        <f>C11+1</f>
        <v>1902</v>
      </c>
      <c r="E11" s="89" t="s">
        <v>154</v>
      </c>
    </row>
    <row r="12" spans="1:7" x14ac:dyDescent="0.25">
      <c r="A12" s="90" t="s">
        <v>328</v>
      </c>
      <c r="B12" s="91">
        <f>'2. Oppsummering Budsjett'!J37/1000*-1</f>
        <v>0</v>
      </c>
      <c r="C12" s="91">
        <f>'2. Oppsummering Budsjett'!K37/1000*-1</f>
        <v>0</v>
      </c>
      <c r="D12" s="91">
        <f>'2. Oppsummering Budsjett'!L37/1000*-1</f>
        <v>0</v>
      </c>
      <c r="E12" s="92">
        <f>SUM(B12:D12)</f>
        <v>0</v>
      </c>
    </row>
    <row r="13" spans="1:7" x14ac:dyDescent="0.25">
      <c r="A13" s="90" t="s">
        <v>329</v>
      </c>
      <c r="B13" s="91">
        <f>'2. Oppsummering Budsjett'!J34/1000*-1</f>
        <v>0</v>
      </c>
      <c r="C13" s="91">
        <f>'2. Oppsummering Budsjett'!K34/1000*-1</f>
        <v>0</v>
      </c>
      <c r="D13" s="91">
        <f>'2. Oppsummering Budsjett'!L34/1000*-1</f>
        <v>0</v>
      </c>
      <c r="E13" s="92">
        <f>SUM(B13:D13)</f>
        <v>0</v>
      </c>
    </row>
    <row r="14" spans="1:7" x14ac:dyDescent="0.25">
      <c r="A14" s="90" t="s">
        <v>330</v>
      </c>
      <c r="B14" s="91">
        <f>'2. Oppsummering Budsjett'!J39/1000*-1</f>
        <v>0</v>
      </c>
      <c r="C14" s="91">
        <f>'2. Oppsummering Budsjett'!K39/1000*-1</f>
        <v>0</v>
      </c>
      <c r="D14" s="91">
        <f>'2. Oppsummering Budsjett'!L39/1000*-1</f>
        <v>0</v>
      </c>
      <c r="E14" s="92">
        <f>SUM(B14:D14)</f>
        <v>0</v>
      </c>
    </row>
    <row r="15" spans="1:7" x14ac:dyDescent="0.25">
      <c r="A15" s="93" t="s">
        <v>357</v>
      </c>
      <c r="B15" s="94">
        <f>SUM(B12:B14)</f>
        <v>0</v>
      </c>
      <c r="C15" s="94">
        <f>SUM(C12:C14)</f>
        <v>0</v>
      </c>
      <c r="D15" s="94">
        <f>SUM(D12:D14)</f>
        <v>0</v>
      </c>
      <c r="E15" s="95">
        <f>SUM(E12:E14)</f>
        <v>0</v>
      </c>
      <c r="G15" s="286" t="s">
        <v>459</v>
      </c>
    </row>
    <row r="16" spans="1:7" x14ac:dyDescent="0.25">
      <c r="A16" s="90" t="s">
        <v>331</v>
      </c>
      <c r="B16" s="91">
        <f>IF('1.Budsjettinput'!$K$1="Ikke-øk. Akt",('2. Oppsummering Budsjett'!B25+'2. Oppsummering Budsjett'!B26)/1000,0)</f>
        <v>0</v>
      </c>
      <c r="C16" s="91">
        <f>IF('1.Budsjettinput'!$K$1="Ikke-øk. Akt",('2. Oppsummering Budsjett'!C25+'2. Oppsummering Budsjett'!C26)/1000,0)</f>
        <v>0</v>
      </c>
      <c r="D16" s="91">
        <f>IF('1.Budsjettinput'!$K$1="Ikke-øk. Akt",('2. Oppsummering Budsjett'!D25+'2. Oppsummering Budsjett'!D26)/1000,0)</f>
        <v>0</v>
      </c>
      <c r="E16" s="92">
        <f>SUM(B16:D16)</f>
        <v>0</v>
      </c>
      <c r="F16" s="224"/>
      <c r="G16" s="286" t="s">
        <v>460</v>
      </c>
    </row>
    <row r="17" spans="1:7" ht="21" customHeight="1" x14ac:dyDescent="0.25">
      <c r="A17" s="90" t="s">
        <v>155</v>
      </c>
      <c r="B17" s="86"/>
      <c r="C17" s="86"/>
      <c r="D17" s="86"/>
      <c r="E17" s="92">
        <f>SUM(B17:D17)</f>
        <v>0</v>
      </c>
      <c r="G17" s="286"/>
    </row>
    <row r="18" spans="1:7" x14ac:dyDescent="0.25">
      <c r="A18" s="90" t="s">
        <v>332</v>
      </c>
      <c r="B18" s="86"/>
      <c r="C18" s="86"/>
      <c r="D18" s="86"/>
      <c r="E18" s="92">
        <f>SUM(B18:D18)</f>
        <v>0</v>
      </c>
    </row>
    <row r="19" spans="1:7" x14ac:dyDescent="0.25">
      <c r="A19" s="93" t="s">
        <v>333</v>
      </c>
      <c r="B19" s="94">
        <f>SUM(B15:B18)</f>
        <v>0</v>
      </c>
      <c r="C19" s="94">
        <f>SUM(C15:C18)</f>
        <v>0</v>
      </c>
      <c r="D19" s="94">
        <f>SUM(D15:D18)</f>
        <v>0</v>
      </c>
      <c r="E19" s="95">
        <f>SUM(E15:E18)</f>
        <v>0</v>
      </c>
    </row>
    <row r="20" spans="1:7" ht="31.5" x14ac:dyDescent="0.25">
      <c r="A20" s="278" t="s">
        <v>432</v>
      </c>
      <c r="B20" s="86">
        <f>IF('1.Budsjettinput'!$K$1="Øk. Aktivitet",IF('2. Oppsummering Budsjett'!D29&lt;&gt;" ",('2. Oppsummering Budsjett'!B25+'2. Oppsummering Budsjett'!B26)/1000,-('2. Oppsummering Budsjett'!B25+'2. Oppsummering Budsjett'!B26)/1000),0)</f>
        <v>0</v>
      </c>
      <c r="C20" s="86">
        <f>IF('1.Budsjettinput'!$K$1="Øk. Aktivitet",-('2. Oppsummering Budsjett'!C25+'2. Oppsummering Budsjett'!C26)/1000,0)</f>
        <v>0</v>
      </c>
      <c r="D20" s="86">
        <f>IF('1.Budsjettinput'!$K$1="Øk. Aktivitet",-('2. Oppsummering Budsjett'!D25+'2. Oppsummering Budsjett'!D26)/1000,0)</f>
        <v>0</v>
      </c>
      <c r="E20" s="87">
        <f>SUM(B20:D20)</f>
        <v>0</v>
      </c>
    </row>
    <row r="21" spans="1:7" ht="15.75" x14ac:dyDescent="0.25">
      <c r="A21" s="96"/>
      <c r="B21" s="86"/>
      <c r="C21" s="86"/>
      <c r="D21" s="86"/>
      <c r="E21" s="87"/>
    </row>
    <row r="22" spans="1:7" ht="21" x14ac:dyDescent="0.35">
      <c r="A22" s="85" t="s">
        <v>420</v>
      </c>
      <c r="B22" s="86"/>
      <c r="C22" s="86"/>
      <c r="D22" s="86"/>
      <c r="E22" s="87"/>
    </row>
    <row r="23" spans="1:7" x14ac:dyDescent="0.25">
      <c r="A23" s="97"/>
      <c r="B23" s="104">
        <f>B11</f>
        <v>1900</v>
      </c>
      <c r="C23" s="104">
        <f>B23+1</f>
        <v>1901</v>
      </c>
      <c r="D23" s="104">
        <f>C23+1</f>
        <v>1902</v>
      </c>
      <c r="E23" s="89" t="s">
        <v>154</v>
      </c>
    </row>
    <row r="24" spans="1:7" x14ac:dyDescent="0.25">
      <c r="A24" s="98" t="s">
        <v>113</v>
      </c>
      <c r="B24" s="91">
        <f>-B12</f>
        <v>0</v>
      </c>
      <c r="C24" s="91">
        <f>-C12</f>
        <v>0</v>
      </c>
      <c r="D24" s="91">
        <f>-D12</f>
        <v>0</v>
      </c>
      <c r="E24" s="92">
        <f>SUM(B24:D24)</f>
        <v>0</v>
      </c>
    </row>
    <row r="25" spans="1:7" x14ac:dyDescent="0.25">
      <c r="A25" s="90" t="s">
        <v>361</v>
      </c>
      <c r="B25" s="91">
        <f>-B14</f>
        <v>0</v>
      </c>
      <c r="C25" s="91">
        <f>-C14</f>
        <v>0</v>
      </c>
      <c r="D25" s="91">
        <f>-D14</f>
        <v>0</v>
      </c>
      <c r="E25" s="92">
        <f>SUM(B25:D25)</f>
        <v>0</v>
      </c>
    </row>
    <row r="26" spans="1:7" x14ac:dyDescent="0.25">
      <c r="A26" s="90" t="s">
        <v>156</v>
      </c>
      <c r="B26" s="91">
        <f>-B13</f>
        <v>0</v>
      </c>
      <c r="C26" s="91">
        <f>-C13</f>
        <v>0</v>
      </c>
      <c r="D26" s="91">
        <f>-D13</f>
        <v>0</v>
      </c>
      <c r="E26" s="92">
        <f>SUM(B26:D26)</f>
        <v>0</v>
      </c>
    </row>
    <row r="27" spans="1:7" x14ac:dyDescent="0.25">
      <c r="A27" s="93" t="s">
        <v>157</v>
      </c>
      <c r="B27" s="94">
        <f>SUM(B24:B26)</f>
        <v>0</v>
      </c>
      <c r="C27" s="94">
        <f>SUM(C24:C26)</f>
        <v>0</v>
      </c>
      <c r="D27" s="94">
        <f>SUM(D24:D26)</f>
        <v>0</v>
      </c>
      <c r="E27" s="95">
        <f>SUM(E24:E26)</f>
        <v>0</v>
      </c>
    </row>
    <row r="28" spans="1:7" x14ac:dyDescent="0.25">
      <c r="A28" s="90" t="s">
        <v>158</v>
      </c>
      <c r="B28" s="91">
        <f>-B16</f>
        <v>0</v>
      </c>
      <c r="C28" s="91">
        <f>-C16</f>
        <v>0</v>
      </c>
      <c r="D28" s="91">
        <f>-D16</f>
        <v>0</v>
      </c>
      <c r="E28" s="92">
        <f>SUM(B28:D28)</f>
        <v>0</v>
      </c>
      <c r="F28" s="277"/>
    </row>
    <row r="29" spans="1:7" hidden="1" x14ac:dyDescent="0.25">
      <c r="A29" s="90" t="s">
        <v>155</v>
      </c>
      <c r="B29" s="86"/>
      <c r="C29" s="86"/>
      <c r="D29" s="86"/>
      <c r="E29" s="92">
        <f>SUM(B29:D29)</f>
        <v>0</v>
      </c>
    </row>
    <row r="30" spans="1:7" x14ac:dyDescent="0.25">
      <c r="A30" s="90" t="s">
        <v>332</v>
      </c>
      <c r="B30" s="86"/>
      <c r="C30" s="86"/>
      <c r="D30" s="86"/>
      <c r="E30" s="92">
        <f>SUM(B30:D30)</f>
        <v>0</v>
      </c>
    </row>
    <row r="31" spans="1:7" x14ac:dyDescent="0.25">
      <c r="A31" s="93" t="s">
        <v>159</v>
      </c>
      <c r="B31" s="94">
        <f>SUM(B27:B30)</f>
        <v>0</v>
      </c>
      <c r="C31" s="94">
        <f>SUM(C27:C30)</f>
        <v>0</v>
      </c>
      <c r="D31" s="94">
        <f>SUM(D27:D30)</f>
        <v>0</v>
      </c>
      <c r="E31" s="95">
        <f>SUM(E27:E30)</f>
        <v>0</v>
      </c>
    </row>
    <row r="32" spans="1:7" x14ac:dyDescent="0.25">
      <c r="A32" s="99"/>
      <c r="B32" s="86"/>
      <c r="C32" s="86"/>
      <c r="D32" s="86"/>
      <c r="E32" s="87"/>
    </row>
    <row r="33" spans="1:5" s="177" customFormat="1" x14ac:dyDescent="0.25">
      <c r="A33" s="99"/>
      <c r="B33" s="86"/>
      <c r="C33" s="86"/>
      <c r="D33" s="86"/>
      <c r="E33" s="87"/>
    </row>
    <row r="34" spans="1:5" x14ac:dyDescent="0.25">
      <c r="A34" s="100" t="s">
        <v>334</v>
      </c>
      <c r="B34" s="101">
        <f>'2. Oppsummering Budsjett'!B13/1000</f>
        <v>0</v>
      </c>
      <c r="C34" s="101">
        <f>'2. Oppsummering Budsjett'!C13/1000</f>
        <v>0</v>
      </c>
      <c r="D34" s="101">
        <f>'2. Oppsummering Budsjett'!D13/1000</f>
        <v>0</v>
      </c>
      <c r="E34" s="102">
        <f>SUM(B34:D34)</f>
        <v>0</v>
      </c>
    </row>
    <row r="35" spans="1:5" x14ac:dyDescent="0.25">
      <c r="A35" s="100" t="s">
        <v>335</v>
      </c>
      <c r="B35" s="101">
        <f>'2. Oppsummering Budsjett'!B14/1000</f>
        <v>0</v>
      </c>
      <c r="C35" s="101">
        <f>'2. Oppsummering Budsjett'!C14/1000</f>
        <v>0</v>
      </c>
      <c r="D35" s="101">
        <f>'2. Oppsummering Budsjett'!D14/1000</f>
        <v>0</v>
      </c>
      <c r="E35" s="102">
        <f>SUM(B35:D35)</f>
        <v>0</v>
      </c>
    </row>
    <row r="37" spans="1:5" x14ac:dyDescent="0.25">
      <c r="A37" s="100" t="s">
        <v>160</v>
      </c>
      <c r="B37" s="101">
        <f>('2. Oppsummering Budsjett'!B11+'2. Oppsummering Budsjett'!B12)/1000</f>
        <v>0</v>
      </c>
      <c r="C37" s="101">
        <f>('2. Oppsummering Budsjett'!C11+'2. Oppsummering Budsjett'!C12)/1000</f>
        <v>0</v>
      </c>
      <c r="D37" s="101">
        <f>('2. Oppsummering Budsjett'!D11+'2. Oppsummering Budsjett'!D12)/1000</f>
        <v>0</v>
      </c>
      <c r="E37" s="102">
        <f>SUM(B37:D37)</f>
        <v>0</v>
      </c>
    </row>
    <row r="38" spans="1:5" s="177" customFormat="1" x14ac:dyDescent="0.25">
      <c r="A38" s="198"/>
      <c r="B38" s="101"/>
      <c r="C38" s="101"/>
      <c r="D38" s="101"/>
      <c r="E38" s="199"/>
    </row>
    <row r="39" spans="1:5" ht="18.75" x14ac:dyDescent="0.3">
      <c r="A39" s="342" t="s">
        <v>290</v>
      </c>
      <c r="B39" s="342"/>
      <c r="C39" s="342"/>
      <c r="D39" s="342"/>
    </row>
    <row r="40" spans="1:5" s="177" customFormat="1" ht="18.75" x14ac:dyDescent="0.3">
      <c r="A40" s="197"/>
      <c r="B40" s="197"/>
      <c r="C40" s="197"/>
      <c r="D40" s="197"/>
    </row>
    <row r="41" spans="1:5" ht="18.75" x14ac:dyDescent="0.3">
      <c r="A41" s="176"/>
      <c r="B41" s="177"/>
      <c r="C41" s="177"/>
      <c r="D41" s="177"/>
    </row>
    <row r="42" spans="1:5" ht="19.5" thickBot="1" x14ac:dyDescent="0.35">
      <c r="A42" s="176"/>
      <c r="B42" s="177"/>
      <c r="C42" s="177"/>
      <c r="D42" s="177"/>
      <c r="E42" s="177"/>
    </row>
    <row r="43" spans="1:5" ht="16.5" thickTop="1" x14ac:dyDescent="0.25">
      <c r="A43" s="187" t="s">
        <v>291</v>
      </c>
      <c r="B43" s="177"/>
      <c r="C43" s="187" t="s">
        <v>292</v>
      </c>
      <c r="D43" s="187"/>
      <c r="E43" s="187"/>
    </row>
  </sheetData>
  <mergeCells count="2">
    <mergeCell ref="A39:D39"/>
    <mergeCell ref="C6:D6"/>
  </mergeCells>
  <pageMargins left="0.7" right="0.7" top="0.75" bottom="0.75" header="0.3" footer="0.3"/>
  <pageSetup paperSize="9" scale="72" orientation="landscape"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Ark8"/>
  <dimension ref="A1:BD187"/>
  <sheetViews>
    <sheetView tabSelected="1" topLeftCell="J4" workbookViewId="0">
      <selection activeCell="U45" sqref="U45"/>
    </sheetView>
  </sheetViews>
  <sheetFormatPr defaultColWidth="11.42578125" defaultRowHeight="15" x14ac:dyDescent="0.25"/>
  <cols>
    <col min="2" max="2" width="29.140625" bestFit="1" customWidth="1"/>
    <col min="5" max="5" width="18.140625" bestFit="1" customWidth="1"/>
    <col min="6" max="7" width="18.140625" customWidth="1"/>
    <col min="15" max="17" width="0" hidden="1" customWidth="1"/>
    <col min="19" max="19" width="12.85546875" bestFit="1" customWidth="1"/>
    <col min="31" max="31" width="12.42578125" bestFit="1" customWidth="1"/>
    <col min="50" max="50" width="13.7109375" bestFit="1" customWidth="1"/>
    <col min="51" max="51" width="20.5703125" bestFit="1" customWidth="1"/>
  </cols>
  <sheetData>
    <row r="1" spans="1:56" ht="15" customHeight="1" thickBot="1" x14ac:dyDescent="0.3">
      <c r="A1" s="39" t="s">
        <v>137</v>
      </c>
      <c r="B1" s="40" t="s">
        <v>75</v>
      </c>
      <c r="C1" s="40" t="s">
        <v>65</v>
      </c>
      <c r="D1" s="40" t="s">
        <v>107</v>
      </c>
      <c r="E1" s="40" t="s">
        <v>113</v>
      </c>
      <c r="F1" s="41" t="s">
        <v>115</v>
      </c>
      <c r="H1" s="345" t="s">
        <v>461</v>
      </c>
      <c r="I1" s="346"/>
      <c r="J1" s="346"/>
      <c r="K1" s="346"/>
      <c r="L1" s="346"/>
      <c r="M1" s="287" t="s">
        <v>133</v>
      </c>
      <c r="N1" s="54">
        <v>2020</v>
      </c>
      <c r="O1" s="53"/>
      <c r="P1" s="54">
        <v>2016</v>
      </c>
      <c r="Q1" s="41"/>
    </row>
    <row r="2" spans="1:56" ht="15.75" thickBot="1" x14ac:dyDescent="0.3">
      <c r="A2" s="28">
        <v>1</v>
      </c>
      <c r="B2" s="1" t="s">
        <v>40</v>
      </c>
      <c r="C2" s="1">
        <v>79</v>
      </c>
      <c r="D2" s="1">
        <v>1</v>
      </c>
      <c r="E2" s="42">
        <f t="shared" ref="E2:E12" si="0">VLOOKUP(F2,$S$13:$X$27,6,FALSE)*VLOOKUP(C2,H:Q,5,FALSE)</f>
        <v>413657.2036076308</v>
      </c>
      <c r="F2" s="36" t="str">
        <f t="shared" ref="F2:F12" si="1">IF(D2=1,VLOOKUP(C2,$AB$5:$AF$88,2,FALSE),VLOOKUP(C2,$AB$5:$AF$88,4,FALSE))</f>
        <v>Forsker 3</v>
      </c>
      <c r="H2" s="55" t="s">
        <v>67</v>
      </c>
      <c r="I2" s="56"/>
      <c r="J2" s="56"/>
      <c r="K2" s="119" t="s">
        <v>68</v>
      </c>
      <c r="L2" s="119"/>
      <c r="M2" s="119"/>
      <c r="N2" s="119"/>
      <c r="O2" s="56"/>
      <c r="P2" s="6"/>
      <c r="Q2" s="36"/>
      <c r="S2" s="62" t="s">
        <v>134</v>
      </c>
      <c r="T2" s="63"/>
      <c r="U2" s="63"/>
      <c r="V2" s="63"/>
      <c r="W2" s="63"/>
      <c r="X2" s="63"/>
      <c r="Y2" s="63"/>
      <c r="Z2" s="64">
        <v>2021</v>
      </c>
      <c r="AB2" s="349" t="s">
        <v>271</v>
      </c>
      <c r="AC2" s="350"/>
      <c r="AD2" s="350"/>
      <c r="AE2" s="350"/>
      <c r="AF2" s="351"/>
      <c r="AP2" s="352" t="s">
        <v>147</v>
      </c>
      <c r="AQ2" s="354"/>
      <c r="AR2" s="353"/>
      <c r="AT2" s="352" t="s">
        <v>148</v>
      </c>
      <c r="AU2" s="354"/>
      <c r="AV2" s="353"/>
      <c r="AX2" s="69" t="s">
        <v>109</v>
      </c>
      <c r="AY2" s="69" t="s">
        <v>135</v>
      </c>
      <c r="BA2" s="84" t="s">
        <v>151</v>
      </c>
      <c r="BC2" s="352" t="s">
        <v>443</v>
      </c>
      <c r="BD2" s="353"/>
    </row>
    <row r="3" spans="1:56" ht="45.75" thickBot="1" x14ac:dyDescent="0.3">
      <c r="A3" s="28">
        <v>2</v>
      </c>
      <c r="B3" s="1" t="s">
        <v>19</v>
      </c>
      <c r="C3" s="1">
        <v>68</v>
      </c>
      <c r="D3" s="1">
        <v>1</v>
      </c>
      <c r="E3" s="42">
        <f t="shared" si="0"/>
        <v>322909.84269987699</v>
      </c>
      <c r="F3" s="36" t="str">
        <f t="shared" si="1"/>
        <v>Forsker 4</v>
      </c>
      <c r="H3" s="120" t="s">
        <v>69</v>
      </c>
      <c r="I3" s="121" t="s">
        <v>70</v>
      </c>
      <c r="J3" s="121" t="s">
        <v>66</v>
      </c>
      <c r="K3" s="121" t="s">
        <v>71</v>
      </c>
      <c r="L3" s="121" t="s">
        <v>104</v>
      </c>
      <c r="M3" s="121" t="s">
        <v>105</v>
      </c>
      <c r="N3" s="121" t="s">
        <v>106</v>
      </c>
      <c r="O3" s="121" t="s">
        <v>72</v>
      </c>
      <c r="P3" s="121" t="s">
        <v>73</v>
      </c>
      <c r="Q3" s="122" t="s">
        <v>74</v>
      </c>
      <c r="S3" s="45"/>
      <c r="T3" s="347" t="s">
        <v>16</v>
      </c>
      <c r="U3" s="347"/>
      <c r="V3" s="347"/>
      <c r="W3" s="347" t="s">
        <v>76</v>
      </c>
      <c r="X3" s="347"/>
      <c r="Y3" s="347"/>
      <c r="Z3" s="8"/>
      <c r="AB3" s="114" t="s">
        <v>272</v>
      </c>
      <c r="AC3" s="347" t="s">
        <v>107</v>
      </c>
      <c r="AD3" s="347"/>
      <c r="AE3" s="347" t="s">
        <v>76</v>
      </c>
      <c r="AF3" s="348"/>
      <c r="AH3" s="46"/>
      <c r="AI3" s="47" t="s">
        <v>81</v>
      </c>
      <c r="AJ3" s="47" t="s">
        <v>82</v>
      </c>
      <c r="AK3" s="47" t="s">
        <v>83</v>
      </c>
      <c r="AL3" s="47" t="s">
        <v>84</v>
      </c>
      <c r="AM3" s="47" t="s">
        <v>85</v>
      </c>
      <c r="AN3" s="48" t="s">
        <v>86</v>
      </c>
      <c r="AP3" s="28"/>
      <c r="AQ3" s="71" t="s">
        <v>145</v>
      </c>
      <c r="AR3" s="72" t="s">
        <v>146</v>
      </c>
      <c r="AS3" s="71" t="s">
        <v>289</v>
      </c>
      <c r="AT3" s="28"/>
      <c r="AU3" s="71" t="s">
        <v>145</v>
      </c>
      <c r="AV3" s="72" t="s">
        <v>146</v>
      </c>
      <c r="AX3" s="66" t="s">
        <v>110</v>
      </c>
      <c r="AY3" s="68" t="s">
        <v>314</v>
      </c>
      <c r="BA3" s="68" t="s">
        <v>152</v>
      </c>
      <c r="BC3" s="28">
        <v>2016</v>
      </c>
      <c r="BD3" s="142">
        <v>1004000</v>
      </c>
    </row>
    <row r="4" spans="1:56" ht="15.75" thickBot="1" x14ac:dyDescent="0.3">
      <c r="A4" s="28">
        <v>3</v>
      </c>
      <c r="B4" s="1" t="s">
        <v>62</v>
      </c>
      <c r="C4" s="1">
        <v>61</v>
      </c>
      <c r="D4" s="1">
        <v>1</v>
      </c>
      <c r="E4" s="42">
        <f t="shared" si="0"/>
        <v>284704.84971987695</v>
      </c>
      <c r="F4" s="36" t="str">
        <f t="shared" si="1"/>
        <v>Forsker 5</v>
      </c>
      <c r="H4" s="127">
        <v>1</v>
      </c>
      <c r="I4" s="128">
        <v>1</v>
      </c>
      <c r="J4" s="128"/>
      <c r="K4" s="129">
        <v>1</v>
      </c>
      <c r="L4" s="129">
        <v>0</v>
      </c>
      <c r="M4" s="129">
        <v>0</v>
      </c>
      <c r="N4" s="130">
        <f>M4/K4</f>
        <v>0</v>
      </c>
      <c r="O4" s="131">
        <v>0</v>
      </c>
      <c r="P4" s="132"/>
      <c r="Q4" s="133">
        <v>596.4</v>
      </c>
      <c r="S4" s="9" t="s">
        <v>77</v>
      </c>
      <c r="T4" s="7" t="s">
        <v>78</v>
      </c>
      <c r="U4" s="7" t="s">
        <v>79</v>
      </c>
      <c r="V4" s="7" t="s">
        <v>80</v>
      </c>
      <c r="W4" s="7" t="s">
        <v>78</v>
      </c>
      <c r="X4" s="7" t="s">
        <v>79</v>
      </c>
      <c r="Y4" s="7" t="s">
        <v>80</v>
      </c>
      <c r="Z4" s="8" t="s">
        <v>68</v>
      </c>
      <c r="AB4" s="28" t="s">
        <v>65</v>
      </c>
      <c r="AC4" s="1" t="s">
        <v>77</v>
      </c>
      <c r="AD4" s="1" t="s">
        <v>162</v>
      </c>
      <c r="AE4" s="1" t="s">
        <v>77</v>
      </c>
      <c r="AF4" s="36" t="s">
        <v>162</v>
      </c>
      <c r="AH4" s="143" t="s">
        <v>87</v>
      </c>
      <c r="AI4" s="144">
        <v>1972.40371</v>
      </c>
      <c r="AJ4" s="145">
        <v>0.88955455965578756</v>
      </c>
      <c r="AK4" s="146">
        <v>248.56624206271107</v>
      </c>
      <c r="AL4" s="144">
        <v>3546.446379999999</v>
      </c>
      <c r="AM4" s="145">
        <v>0.79451777270940527</v>
      </c>
      <c r="AN4" s="147">
        <v>115.87922926985996</v>
      </c>
      <c r="AP4" s="65">
        <f>Z2</f>
        <v>2021</v>
      </c>
      <c r="AQ4" s="175">
        <f>AR4</f>
        <v>1.01</v>
      </c>
      <c r="AR4" s="169">
        <v>1.01</v>
      </c>
      <c r="AS4" s="167">
        <f t="shared" ref="AS4:AS33" si="2">$E$67*AQ4</f>
        <v>455510</v>
      </c>
      <c r="AT4" s="65">
        <f>AP4</f>
        <v>2021</v>
      </c>
      <c r="AU4" s="73">
        <v>1</v>
      </c>
      <c r="AV4" s="172"/>
      <c r="AX4" s="67" t="s">
        <v>111</v>
      </c>
      <c r="AY4" s="68" t="s">
        <v>340</v>
      </c>
      <c r="BA4" s="67" t="s">
        <v>153</v>
      </c>
      <c r="BC4" s="28">
        <v>2017</v>
      </c>
      <c r="BD4" s="142">
        <v>1039000</v>
      </c>
    </row>
    <row r="5" spans="1:56" x14ac:dyDescent="0.25">
      <c r="A5" s="28">
        <v>4</v>
      </c>
      <c r="B5" s="1" t="s">
        <v>28</v>
      </c>
      <c r="C5" s="1">
        <v>66</v>
      </c>
      <c r="D5" s="1">
        <v>1</v>
      </c>
      <c r="E5" s="42">
        <f t="shared" si="0"/>
        <v>311651.51460110774</v>
      </c>
      <c r="F5" s="36" t="str">
        <f t="shared" si="1"/>
        <v>Forsker 4</v>
      </c>
      <c r="H5" s="127">
        <v>2</v>
      </c>
      <c r="I5" s="134">
        <v>217400</v>
      </c>
      <c r="J5" s="134"/>
      <c r="K5" s="129">
        <v>217200</v>
      </c>
      <c r="L5" s="129">
        <f t="shared" ref="L5:L68" si="3">((K5*(1-5/52)*1.12+K5*0.13+1329)*1.141)</f>
        <v>284609.02130769234</v>
      </c>
      <c r="M5" s="129">
        <f>L5-K5</f>
        <v>67409.021307692339</v>
      </c>
      <c r="N5" s="130">
        <f t="shared" ref="N5:N68" si="4">M5/K5</f>
        <v>0.31035461007224835</v>
      </c>
      <c r="O5" s="131">
        <v>18100</v>
      </c>
      <c r="P5" s="132"/>
      <c r="Q5" s="133">
        <v>603.4</v>
      </c>
      <c r="S5" s="10">
        <v>7</v>
      </c>
      <c r="T5" s="11">
        <f>T21</f>
        <v>283</v>
      </c>
      <c r="U5" s="11">
        <f>V21</f>
        <v>396</v>
      </c>
      <c r="V5" s="11">
        <v>33</v>
      </c>
      <c r="W5" s="11">
        <f>T14</f>
        <v>351</v>
      </c>
      <c r="X5" s="11">
        <f>V14</f>
        <v>491</v>
      </c>
      <c r="Y5" s="11">
        <v>48</v>
      </c>
      <c r="Z5" s="36" t="str">
        <f>W21</f>
        <v>&lt; 463'</v>
      </c>
      <c r="AB5" s="28">
        <v>18</v>
      </c>
      <c r="AC5" s="177" t="s">
        <v>117</v>
      </c>
      <c r="AD5" s="14">
        <f>VLOOKUP(AC5,$S$21:$X$27,6,FALSE)</f>
        <v>0.4</v>
      </c>
      <c r="AE5" s="177" t="s">
        <v>116</v>
      </c>
      <c r="AF5" s="115">
        <f>VLOOKUP(AE5,$S$14:$X$20,6,FALSE)</f>
        <v>0.4</v>
      </c>
      <c r="AH5" s="143" t="s">
        <v>88</v>
      </c>
      <c r="AI5" s="144">
        <v>126.13533768343812</v>
      </c>
      <c r="AJ5" s="145">
        <v>5.688706840346841E-2</v>
      </c>
      <c r="AK5" s="146">
        <v>11.382713945699953</v>
      </c>
      <c r="AL5" s="144">
        <v>558.60000000000014</v>
      </c>
      <c r="AM5" s="145">
        <v>0.12514432202848474</v>
      </c>
      <c r="AN5" s="147">
        <v>21.050399419692365</v>
      </c>
      <c r="AP5" s="65">
        <f>AP4+1</f>
        <v>2022</v>
      </c>
      <c r="AQ5" s="78">
        <f>AQ4*AR5</f>
        <v>1.04535</v>
      </c>
      <c r="AR5" s="170">
        <v>1.0349999999999999</v>
      </c>
      <c r="AS5" s="167">
        <f t="shared" si="2"/>
        <v>471452.85</v>
      </c>
      <c r="AT5" s="65">
        <f>AT4+1</f>
        <v>2022</v>
      </c>
      <c r="AU5" s="78">
        <f>AU4*AV5</f>
        <v>1.0349999999999999</v>
      </c>
      <c r="AV5" s="173">
        <v>1.0349999999999999</v>
      </c>
      <c r="AY5" s="68" t="s">
        <v>377</v>
      </c>
      <c r="BC5" s="28">
        <v>2018</v>
      </c>
      <c r="BD5" s="142">
        <v>1067000</v>
      </c>
    </row>
    <row r="6" spans="1:56" x14ac:dyDescent="0.25">
      <c r="A6" s="28">
        <v>5</v>
      </c>
      <c r="B6" s="1" t="s">
        <v>0</v>
      </c>
      <c r="C6" s="1">
        <v>66</v>
      </c>
      <c r="D6" s="1">
        <v>1</v>
      </c>
      <c r="E6" s="42">
        <f t="shared" si="0"/>
        <v>311651.51460110774</v>
      </c>
      <c r="F6" s="36" t="str">
        <f t="shared" si="1"/>
        <v>Forsker 4</v>
      </c>
      <c r="H6" s="127">
        <v>3</v>
      </c>
      <c r="I6" s="134">
        <v>219900</v>
      </c>
      <c r="J6" s="134"/>
      <c r="K6" s="129">
        <v>219700</v>
      </c>
      <c r="L6" s="129">
        <f t="shared" si="3"/>
        <v>287867.45400000003</v>
      </c>
      <c r="M6" s="129">
        <f t="shared" ref="M6:M69" si="5">L6-K6</f>
        <v>68167.454000000027</v>
      </c>
      <c r="N6" s="130">
        <f t="shared" si="4"/>
        <v>0.31027516613563966</v>
      </c>
      <c r="O6" s="131">
        <v>18308.399999999998</v>
      </c>
      <c r="P6" s="132"/>
      <c r="Q6" s="133">
        <v>610.30000000000007</v>
      </c>
      <c r="S6" s="10">
        <v>6</v>
      </c>
      <c r="T6" s="11">
        <f t="shared" ref="T6:T11" si="6">T22</f>
        <v>413</v>
      </c>
      <c r="U6" s="11">
        <f t="shared" ref="U6:U11" si="7">V22</f>
        <v>578</v>
      </c>
      <c r="V6" s="11">
        <v>58</v>
      </c>
      <c r="W6" s="11">
        <f t="shared" ref="W6:W11" si="8">T15</f>
        <v>414</v>
      </c>
      <c r="X6" s="11">
        <f t="shared" ref="X6:X11" si="9">V15</f>
        <v>580</v>
      </c>
      <c r="Y6" s="11">
        <v>58</v>
      </c>
      <c r="Z6" s="36" t="str">
        <f t="shared" ref="Z6:Z11" si="10">W22</f>
        <v>463'-528'</v>
      </c>
      <c r="AB6" s="28">
        <v>19</v>
      </c>
      <c r="AC6" s="177" t="s">
        <v>117</v>
      </c>
      <c r="AD6" s="14">
        <f t="shared" ref="AD6:AD69" si="11">VLOOKUP(AC6,$S$21:$X$27,6,FALSE)</f>
        <v>0.4</v>
      </c>
      <c r="AE6" s="177" t="s">
        <v>116</v>
      </c>
      <c r="AF6" s="115">
        <f t="shared" ref="AF6:AF69" si="12">VLOOKUP(AE6,$S$14:$X$20,6,FALSE)</f>
        <v>0.4</v>
      </c>
      <c r="AH6" s="143" t="s">
        <v>89</v>
      </c>
      <c r="AI6" s="144">
        <v>71.462217681792737</v>
      </c>
      <c r="AJ6" s="145">
        <v>3.2229477798920367E-2</v>
      </c>
      <c r="AK6" s="146">
        <v>6.8994087999620151</v>
      </c>
      <c r="AL6" s="144">
        <v>203.00000000000003</v>
      </c>
      <c r="AM6" s="145">
        <v>4.5478513017870398E-2</v>
      </c>
      <c r="AN6" s="147">
        <v>5.3087192707883242</v>
      </c>
      <c r="AP6" s="65">
        <f>AP5+1</f>
        <v>2023</v>
      </c>
      <c r="AQ6" s="78">
        <f t="shared" ref="AQ6:AQ33" si="13">AQ5*AR6</f>
        <v>1.0788012</v>
      </c>
      <c r="AR6" s="170">
        <v>1.032</v>
      </c>
      <c r="AS6" s="167">
        <f t="shared" si="2"/>
        <v>486539.34120000002</v>
      </c>
      <c r="AT6" s="65">
        <f>AT5+1</f>
        <v>2023</v>
      </c>
      <c r="AU6" s="78">
        <f t="shared" ref="AU6:AU33" si="14">AU5*AV6</f>
        <v>1.06812</v>
      </c>
      <c r="AV6" s="173">
        <v>1.032</v>
      </c>
      <c r="AY6" s="68" t="s">
        <v>379</v>
      </c>
      <c r="BC6" s="28">
        <v>2019</v>
      </c>
      <c r="BD6" s="142">
        <v>1095000</v>
      </c>
    </row>
    <row r="7" spans="1:56" x14ac:dyDescent="0.25">
      <c r="A7" s="28">
        <v>6</v>
      </c>
      <c r="B7" s="1" t="s">
        <v>24</v>
      </c>
      <c r="C7" s="1">
        <v>67</v>
      </c>
      <c r="D7" s="1">
        <v>1</v>
      </c>
      <c r="E7" s="42">
        <f t="shared" si="0"/>
        <v>317463.95375907701</v>
      </c>
      <c r="F7" s="36" t="str">
        <f t="shared" si="1"/>
        <v>Forsker 4</v>
      </c>
      <c r="H7" s="127">
        <v>4</v>
      </c>
      <c r="I7" s="134">
        <v>222400</v>
      </c>
      <c r="J7" s="134"/>
      <c r="K7" s="129">
        <v>222200</v>
      </c>
      <c r="L7" s="129">
        <f t="shared" si="3"/>
        <v>291125.88669230771</v>
      </c>
      <c r="M7" s="129">
        <f t="shared" si="5"/>
        <v>68925.886692307715</v>
      </c>
      <c r="N7" s="130">
        <f t="shared" si="4"/>
        <v>0.31019750986637135</v>
      </c>
      <c r="O7" s="131">
        <v>18516.699999999997</v>
      </c>
      <c r="P7" s="132"/>
      <c r="Q7" s="133">
        <v>617.30000000000007</v>
      </c>
      <c r="S7" s="10">
        <v>5</v>
      </c>
      <c r="T7" s="11">
        <f t="shared" si="6"/>
        <v>467</v>
      </c>
      <c r="U7" s="11">
        <f t="shared" si="7"/>
        <v>654</v>
      </c>
      <c r="V7" s="11">
        <v>65</v>
      </c>
      <c r="W7" s="11">
        <f t="shared" si="8"/>
        <v>462</v>
      </c>
      <c r="X7" s="11">
        <f t="shared" si="9"/>
        <v>647</v>
      </c>
      <c r="Y7" s="11">
        <v>64</v>
      </c>
      <c r="Z7" s="36" t="str">
        <f t="shared" si="10"/>
        <v>528'-596'</v>
      </c>
      <c r="AB7" s="28">
        <v>20</v>
      </c>
      <c r="AC7" s="177" t="s">
        <v>117</v>
      </c>
      <c r="AD7" s="14">
        <f t="shared" si="11"/>
        <v>0.4</v>
      </c>
      <c r="AE7" s="177" t="s">
        <v>116</v>
      </c>
      <c r="AF7" s="115">
        <f t="shared" si="12"/>
        <v>0.4</v>
      </c>
      <c r="AH7" s="143" t="s">
        <v>90</v>
      </c>
      <c r="AI7" s="144">
        <v>47.29242234653784</v>
      </c>
      <c r="AJ7" s="145">
        <v>2.132889414182353E-2</v>
      </c>
      <c r="AK7" s="146">
        <v>7.3245118494470649</v>
      </c>
      <c r="AL7" s="144">
        <v>155.60000000000002</v>
      </c>
      <c r="AM7" s="145">
        <v>3.4859392244239576E-2</v>
      </c>
      <c r="AN7" s="147">
        <v>7.0243743906128824</v>
      </c>
      <c r="AP7" s="65">
        <f t="shared" ref="AP7:AP33" si="15">AP6+1</f>
        <v>2024</v>
      </c>
      <c r="AQ7" s="78">
        <f t="shared" si="13"/>
        <v>1.1111652359999999</v>
      </c>
      <c r="AR7" s="170">
        <v>1.03</v>
      </c>
      <c r="AS7" s="167">
        <f t="shared" si="2"/>
        <v>501135.52143599995</v>
      </c>
      <c r="AT7" s="65">
        <f t="shared" ref="AT7:AT33" si="16">AT6+1</f>
        <v>2024</v>
      </c>
      <c r="AU7" s="78">
        <f t="shared" si="14"/>
        <v>1.1001635999999999</v>
      </c>
      <c r="AV7" s="173">
        <v>1.03</v>
      </c>
      <c r="AY7" s="68" t="s">
        <v>316</v>
      </c>
      <c r="BC7" s="28">
        <v>2020</v>
      </c>
      <c r="BD7" s="142">
        <v>1125000</v>
      </c>
    </row>
    <row r="8" spans="1:56" x14ac:dyDescent="0.25">
      <c r="A8" s="28">
        <v>7</v>
      </c>
      <c r="B8" s="1" t="s">
        <v>11</v>
      </c>
      <c r="C8" s="1">
        <v>77</v>
      </c>
      <c r="D8" s="1">
        <v>1</v>
      </c>
      <c r="E8" s="42">
        <f t="shared" si="0"/>
        <v>388574.69588990771</v>
      </c>
      <c r="F8" s="36" t="str">
        <f t="shared" si="1"/>
        <v>Forsker 3</v>
      </c>
      <c r="H8" s="127">
        <v>5</v>
      </c>
      <c r="I8" s="134">
        <v>224900</v>
      </c>
      <c r="J8" s="134"/>
      <c r="K8" s="129">
        <v>224700</v>
      </c>
      <c r="L8" s="129">
        <f t="shared" si="3"/>
        <v>294384.3193846154</v>
      </c>
      <c r="M8" s="129">
        <f t="shared" si="5"/>
        <v>69684.319384615403</v>
      </c>
      <c r="N8" s="130">
        <f t="shared" si="4"/>
        <v>0.31012158159597419</v>
      </c>
      <c r="O8" s="131">
        <v>18725</v>
      </c>
      <c r="P8" s="132"/>
      <c r="Q8" s="133">
        <v>624.20000000000005</v>
      </c>
      <c r="S8" s="10">
        <v>4</v>
      </c>
      <c r="T8" s="11">
        <f t="shared" si="6"/>
        <v>525</v>
      </c>
      <c r="U8" s="11">
        <f t="shared" si="7"/>
        <v>735</v>
      </c>
      <c r="V8" s="11">
        <v>71</v>
      </c>
      <c r="W8" s="11">
        <f t="shared" si="8"/>
        <v>520</v>
      </c>
      <c r="X8" s="11">
        <f t="shared" si="9"/>
        <v>728</v>
      </c>
      <c r="Y8" s="11">
        <v>71</v>
      </c>
      <c r="Z8" s="36" t="str">
        <f t="shared" si="10"/>
        <v>596'-675'</v>
      </c>
      <c r="AB8" s="28">
        <v>21</v>
      </c>
      <c r="AC8" s="177" t="s">
        <v>117</v>
      </c>
      <c r="AD8" s="14">
        <f t="shared" si="11"/>
        <v>0.4</v>
      </c>
      <c r="AE8" s="177" t="s">
        <v>116</v>
      </c>
      <c r="AF8" s="115">
        <f t="shared" si="12"/>
        <v>0.4</v>
      </c>
      <c r="AH8" s="148" t="s">
        <v>91</v>
      </c>
      <c r="AI8" s="149">
        <v>2217.2936877117691</v>
      </c>
      <c r="AJ8" s="150">
        <v>0.99999999999999989</v>
      </c>
      <c r="AK8" s="151">
        <v>274.1728766578201</v>
      </c>
      <c r="AL8" s="149">
        <v>4463.6463799999992</v>
      </c>
      <c r="AM8" s="150">
        <v>1</v>
      </c>
      <c r="AN8" s="152">
        <v>149.26272235095351</v>
      </c>
      <c r="AP8" s="65">
        <f t="shared" si="15"/>
        <v>2025</v>
      </c>
      <c r="AQ8" s="78">
        <f t="shared" si="13"/>
        <v>1.1445001930800001</v>
      </c>
      <c r="AR8" s="170">
        <f t="shared" ref="AR8:AR33" si="17">AR7</f>
        <v>1.03</v>
      </c>
      <c r="AS8" s="167">
        <f t="shared" si="2"/>
        <v>516169.58707908005</v>
      </c>
      <c r="AT8" s="65">
        <f t="shared" si="16"/>
        <v>2025</v>
      </c>
      <c r="AU8" s="78">
        <f t="shared" si="14"/>
        <v>1.133168508</v>
      </c>
      <c r="AV8" s="173">
        <f t="shared" ref="AV8:AV33" si="18">AV7</f>
        <v>1.03</v>
      </c>
      <c r="AY8" s="68" t="s">
        <v>317</v>
      </c>
      <c r="BC8" s="28">
        <v>2021</v>
      </c>
      <c r="BD8" s="142">
        <v>1156000</v>
      </c>
    </row>
    <row r="9" spans="1:56" x14ac:dyDescent="0.25">
      <c r="A9" s="28">
        <v>8</v>
      </c>
      <c r="B9" s="1" t="s">
        <v>16</v>
      </c>
      <c r="C9" s="1">
        <v>61</v>
      </c>
      <c r="D9" s="1">
        <v>1</v>
      </c>
      <c r="E9" s="42">
        <f t="shared" si="0"/>
        <v>284704.84971987695</v>
      </c>
      <c r="F9" s="36" t="str">
        <f t="shared" si="1"/>
        <v>Forsker 5</v>
      </c>
      <c r="H9" s="127">
        <v>6</v>
      </c>
      <c r="I9" s="134">
        <v>227400</v>
      </c>
      <c r="J9" s="134"/>
      <c r="K9" s="129">
        <v>227200</v>
      </c>
      <c r="L9" s="129">
        <f t="shared" si="3"/>
        <v>297642.75207692309</v>
      </c>
      <c r="M9" s="129">
        <f t="shared" si="5"/>
        <v>70442.75207692309</v>
      </c>
      <c r="N9" s="130">
        <f t="shared" si="4"/>
        <v>0.31004732428223192</v>
      </c>
      <c r="O9" s="131">
        <v>18933.399999999998</v>
      </c>
      <c r="P9" s="132"/>
      <c r="Q9" s="133">
        <v>631.20000000000005</v>
      </c>
      <c r="S9" s="10">
        <v>3</v>
      </c>
      <c r="T9" s="11">
        <f t="shared" si="6"/>
        <v>606</v>
      </c>
      <c r="U9" s="11">
        <f t="shared" si="7"/>
        <v>848</v>
      </c>
      <c r="V9" s="11">
        <v>78</v>
      </c>
      <c r="W9" s="11">
        <f t="shared" si="8"/>
        <v>599</v>
      </c>
      <c r="X9" s="11">
        <f t="shared" si="9"/>
        <v>839</v>
      </c>
      <c r="Y9" s="11">
        <v>77</v>
      </c>
      <c r="Z9" s="36" t="str">
        <f t="shared" si="10"/>
        <v>675'-797'</v>
      </c>
      <c r="AB9" s="28">
        <v>22</v>
      </c>
      <c r="AC9" s="177" t="s">
        <v>117</v>
      </c>
      <c r="AD9" s="14">
        <f t="shared" si="11"/>
        <v>0.4</v>
      </c>
      <c r="AE9" s="177" t="s">
        <v>116</v>
      </c>
      <c r="AF9" s="115">
        <f t="shared" si="12"/>
        <v>0.4</v>
      </c>
      <c r="AH9" s="49" t="s">
        <v>92</v>
      </c>
      <c r="AI9" s="1"/>
      <c r="AJ9" s="1"/>
      <c r="AK9" s="50">
        <v>172</v>
      </c>
      <c r="AL9" s="1"/>
      <c r="AM9" s="1"/>
      <c r="AN9" s="51">
        <v>95</v>
      </c>
      <c r="AP9" s="65">
        <f t="shared" si="15"/>
        <v>2026</v>
      </c>
      <c r="AQ9" s="78">
        <f t="shared" si="13"/>
        <v>1.1788351988724002</v>
      </c>
      <c r="AR9" s="170">
        <f t="shared" si="17"/>
        <v>1.03</v>
      </c>
      <c r="AS9" s="167">
        <f t="shared" si="2"/>
        <v>531654.67469145253</v>
      </c>
      <c r="AT9" s="65">
        <f t="shared" si="16"/>
        <v>2026</v>
      </c>
      <c r="AU9" s="78">
        <f t="shared" si="14"/>
        <v>1.1671635632400001</v>
      </c>
      <c r="AV9" s="173">
        <f t="shared" si="18"/>
        <v>1.03</v>
      </c>
      <c r="AX9" s="177"/>
      <c r="AY9" s="82" t="s">
        <v>378</v>
      </c>
      <c r="BC9" s="28">
        <v>2022</v>
      </c>
      <c r="BD9" s="142">
        <v>1187000</v>
      </c>
    </row>
    <row r="10" spans="1:56" ht="15.75" thickBot="1" x14ac:dyDescent="0.3">
      <c r="A10" s="28">
        <v>9</v>
      </c>
      <c r="B10" s="1" t="s">
        <v>29</v>
      </c>
      <c r="C10" s="1">
        <v>59</v>
      </c>
      <c r="D10" s="1">
        <v>1</v>
      </c>
      <c r="E10" s="42">
        <f t="shared" si="0"/>
        <v>274640.89100086159</v>
      </c>
      <c r="F10" s="36" t="str">
        <f t="shared" si="1"/>
        <v>Forsker 6</v>
      </c>
      <c r="H10" s="127">
        <v>7</v>
      </c>
      <c r="I10" s="134">
        <v>229900</v>
      </c>
      <c r="J10" s="134"/>
      <c r="K10" s="129">
        <v>229700</v>
      </c>
      <c r="L10" s="129">
        <f t="shared" si="3"/>
        <v>300901.18476923078</v>
      </c>
      <c r="M10" s="129">
        <f t="shared" si="5"/>
        <v>71201.184769230778</v>
      </c>
      <c r="N10" s="130">
        <f t="shared" si="4"/>
        <v>0.30997468336626371</v>
      </c>
      <c r="O10" s="131">
        <v>19141.699999999997</v>
      </c>
      <c r="P10" s="132"/>
      <c r="Q10" s="133">
        <v>638.1</v>
      </c>
      <c r="S10" s="10">
        <v>2</v>
      </c>
      <c r="T10" s="11">
        <f t="shared" si="6"/>
        <v>725</v>
      </c>
      <c r="U10" s="11">
        <f t="shared" si="7"/>
        <v>1015</v>
      </c>
      <c r="V10" s="11">
        <v>84</v>
      </c>
      <c r="W10" s="11">
        <f t="shared" si="8"/>
        <v>752</v>
      </c>
      <c r="X10" s="11">
        <f t="shared" si="9"/>
        <v>1053</v>
      </c>
      <c r="Y10" s="11">
        <v>85</v>
      </c>
      <c r="Z10" s="36" t="str">
        <f t="shared" si="10"/>
        <v>797'-1.058'</v>
      </c>
      <c r="AB10" s="28">
        <v>23</v>
      </c>
      <c r="AC10" s="177" t="s">
        <v>117</v>
      </c>
      <c r="AD10" s="14">
        <f t="shared" si="11"/>
        <v>0.4</v>
      </c>
      <c r="AE10" s="177" t="s">
        <v>116</v>
      </c>
      <c r="AF10" s="115">
        <f t="shared" si="12"/>
        <v>0.4</v>
      </c>
      <c r="AH10" s="28"/>
      <c r="AI10" s="1"/>
      <c r="AJ10" s="1"/>
      <c r="AK10" s="1"/>
      <c r="AL10" s="1"/>
      <c r="AM10" s="1"/>
      <c r="AN10" s="36"/>
      <c r="AP10" s="65">
        <f t="shared" si="15"/>
        <v>2027</v>
      </c>
      <c r="AQ10" s="78">
        <f t="shared" si="13"/>
        <v>1.2142002548385722</v>
      </c>
      <c r="AR10" s="170">
        <f t="shared" si="17"/>
        <v>1.03</v>
      </c>
      <c r="AS10" s="167">
        <f t="shared" si="2"/>
        <v>547604.31493219605</v>
      </c>
      <c r="AT10" s="65">
        <f t="shared" si="16"/>
        <v>2027</v>
      </c>
      <c r="AU10" s="78">
        <f t="shared" si="14"/>
        <v>1.2021784701372003</v>
      </c>
      <c r="AV10" s="173">
        <f t="shared" si="18"/>
        <v>1.03</v>
      </c>
      <c r="AY10" s="67" t="s">
        <v>136</v>
      </c>
      <c r="BC10" s="28">
        <v>2023</v>
      </c>
      <c r="BD10" s="142">
        <v>1220000</v>
      </c>
    </row>
    <row r="11" spans="1:56" ht="15.75" thickBot="1" x14ac:dyDescent="0.3">
      <c r="A11" s="28">
        <v>10</v>
      </c>
      <c r="B11" s="1" t="s">
        <v>39</v>
      </c>
      <c r="C11" s="1">
        <v>62</v>
      </c>
      <c r="D11" s="1">
        <v>1</v>
      </c>
      <c r="E11" s="42">
        <f t="shared" si="0"/>
        <v>290156.16069267696</v>
      </c>
      <c r="F11" s="36" t="str">
        <f t="shared" si="1"/>
        <v>Forsker 5</v>
      </c>
      <c r="H11" s="127">
        <v>8</v>
      </c>
      <c r="I11" s="134">
        <v>232400</v>
      </c>
      <c r="J11" s="134"/>
      <c r="K11" s="129">
        <v>232200</v>
      </c>
      <c r="L11" s="129">
        <f t="shared" si="3"/>
        <v>304159.61746153852</v>
      </c>
      <c r="M11" s="129">
        <f t="shared" si="5"/>
        <v>71959.617461538524</v>
      </c>
      <c r="N11" s="130">
        <f t="shared" si="4"/>
        <v>0.30990360663883948</v>
      </c>
      <c r="O11" s="131">
        <v>19350</v>
      </c>
      <c r="P11" s="132"/>
      <c r="Q11" s="133">
        <v>645</v>
      </c>
      <c r="S11" s="12">
        <v>1</v>
      </c>
      <c r="T11" s="13">
        <f t="shared" si="6"/>
        <v>978</v>
      </c>
      <c r="U11" s="13">
        <f t="shared" si="7"/>
        <v>1369</v>
      </c>
      <c r="V11" s="13">
        <v>98</v>
      </c>
      <c r="W11" s="13">
        <f t="shared" si="8"/>
        <v>1004</v>
      </c>
      <c r="X11" s="13">
        <f t="shared" si="9"/>
        <v>1406</v>
      </c>
      <c r="Y11" s="13">
        <v>99</v>
      </c>
      <c r="Z11" s="168" t="str">
        <f t="shared" si="10"/>
        <v>&gt;1.058'</v>
      </c>
      <c r="AB11" s="28">
        <v>24</v>
      </c>
      <c r="AC11" s="177" t="s">
        <v>117</v>
      </c>
      <c r="AD11" s="14">
        <f t="shared" si="11"/>
        <v>0.4</v>
      </c>
      <c r="AE11" s="177" t="s">
        <v>116</v>
      </c>
      <c r="AF11" s="115">
        <f t="shared" si="12"/>
        <v>0.4</v>
      </c>
      <c r="AH11" s="37" t="s">
        <v>112</v>
      </c>
      <c r="AI11" s="38"/>
      <c r="AJ11" s="38"/>
      <c r="AK11" s="44">
        <v>281000</v>
      </c>
      <c r="AL11" s="38"/>
      <c r="AM11" s="38"/>
      <c r="AN11" s="52">
        <v>146000</v>
      </c>
      <c r="AP11" s="65">
        <f t="shared" si="15"/>
        <v>2028</v>
      </c>
      <c r="AQ11" s="78">
        <f t="shared" si="13"/>
        <v>1.2506262624837294</v>
      </c>
      <c r="AR11" s="170">
        <f t="shared" si="17"/>
        <v>1.03</v>
      </c>
      <c r="AS11" s="167">
        <f t="shared" si="2"/>
        <v>564032.44438016193</v>
      </c>
      <c r="AT11" s="65">
        <f t="shared" si="16"/>
        <v>2028</v>
      </c>
      <c r="AU11" s="78">
        <f t="shared" si="14"/>
        <v>1.2382438242413163</v>
      </c>
      <c r="AV11" s="173">
        <f t="shared" si="18"/>
        <v>1.03</v>
      </c>
      <c r="BC11" s="28">
        <v>2024</v>
      </c>
      <c r="BD11" s="142">
        <v>1265000</v>
      </c>
    </row>
    <row r="12" spans="1:56" ht="15.75" thickBot="1" x14ac:dyDescent="0.3">
      <c r="A12" s="28">
        <v>11</v>
      </c>
      <c r="B12" s="1" t="s">
        <v>57</v>
      </c>
      <c r="C12" s="1">
        <v>57</v>
      </c>
      <c r="D12" s="1">
        <v>1</v>
      </c>
      <c r="E12" s="42">
        <f t="shared" si="0"/>
        <v>264943.84744347696</v>
      </c>
      <c r="F12" s="36" t="str">
        <f t="shared" si="1"/>
        <v>Forsker 6</v>
      </c>
      <c r="H12" s="127">
        <v>9</v>
      </c>
      <c r="I12" s="134">
        <v>234900</v>
      </c>
      <c r="J12" s="134"/>
      <c r="K12" s="129">
        <v>234700</v>
      </c>
      <c r="L12" s="129">
        <f t="shared" si="3"/>
        <v>307418.05015384615</v>
      </c>
      <c r="M12" s="129">
        <f t="shared" si="5"/>
        <v>72718.050153846154</v>
      </c>
      <c r="N12" s="130">
        <f t="shared" si="4"/>
        <v>0.30983404411523713</v>
      </c>
      <c r="O12" s="131">
        <v>19558.399999999998</v>
      </c>
      <c r="P12" s="132"/>
      <c r="Q12" s="133">
        <v>652</v>
      </c>
      <c r="AB12" s="28">
        <v>25</v>
      </c>
      <c r="AC12" s="177" t="s">
        <v>117</v>
      </c>
      <c r="AD12" s="14">
        <f t="shared" si="11"/>
        <v>0.4</v>
      </c>
      <c r="AE12" s="177" t="s">
        <v>116</v>
      </c>
      <c r="AF12" s="115">
        <f t="shared" si="12"/>
        <v>0.4</v>
      </c>
      <c r="AP12" s="65">
        <f t="shared" si="15"/>
        <v>2029</v>
      </c>
      <c r="AQ12" s="78">
        <f t="shared" si="13"/>
        <v>1.2881450503582415</v>
      </c>
      <c r="AR12" s="170">
        <f t="shared" si="17"/>
        <v>1.03</v>
      </c>
      <c r="AS12" s="167">
        <f t="shared" si="2"/>
        <v>580953.4177115669</v>
      </c>
      <c r="AT12" s="65">
        <f t="shared" si="16"/>
        <v>2029</v>
      </c>
      <c r="AU12" s="78">
        <f t="shared" si="14"/>
        <v>1.2753911389685557</v>
      </c>
      <c r="AV12" s="173">
        <f t="shared" si="18"/>
        <v>1.03</v>
      </c>
      <c r="AX12" s="69" t="s">
        <v>295</v>
      </c>
      <c r="BC12" s="28">
        <v>2025</v>
      </c>
      <c r="BD12" s="142">
        <f>ROUND((BD11*1.029),-3)</f>
        <v>1302000</v>
      </c>
    </row>
    <row r="13" spans="1:56" ht="15.75" thickBot="1" x14ac:dyDescent="0.3">
      <c r="B13" s="1" t="s">
        <v>41</v>
      </c>
      <c r="C13" s="1">
        <v>71</v>
      </c>
      <c r="D13" s="1">
        <v>1</v>
      </c>
      <c r="E13" s="42">
        <f t="shared" ref="E13:E65" si="19">VLOOKUP(F13,$S$13:$X$27,6,FALSE)*VLOOKUP(C13,H:Q,5,FALSE)</f>
        <v>343593.74781156925</v>
      </c>
      <c r="F13" s="36" t="str">
        <f t="shared" ref="F13:F66" si="20">IF(D13=1,VLOOKUP(C13,$AB$5:$AF$88,2,FALSE),VLOOKUP(C13,$AB$5:$AF$88,4,FALSE))</f>
        <v>Forsker 4</v>
      </c>
      <c r="H13" s="127">
        <v>10</v>
      </c>
      <c r="I13" s="134">
        <v>237400</v>
      </c>
      <c r="J13" s="134"/>
      <c r="K13" s="129">
        <v>237200</v>
      </c>
      <c r="L13" s="129">
        <f t="shared" si="3"/>
        <v>310676.48284615384</v>
      </c>
      <c r="M13" s="129">
        <f t="shared" si="5"/>
        <v>73476.482846153842</v>
      </c>
      <c r="N13" s="130">
        <f t="shared" si="4"/>
        <v>0.30976594791801787</v>
      </c>
      <c r="O13" s="131">
        <v>19766.699999999997</v>
      </c>
      <c r="P13" s="132"/>
      <c r="Q13" s="133">
        <v>658.9</v>
      </c>
      <c r="S13" s="39"/>
      <c r="T13" s="40" t="s">
        <v>78</v>
      </c>
      <c r="U13" s="40" t="s">
        <v>130</v>
      </c>
      <c r="V13" s="40" t="s">
        <v>79</v>
      </c>
      <c r="W13" s="41" t="s">
        <v>68</v>
      </c>
      <c r="X13" s="105" t="s">
        <v>162</v>
      </c>
      <c r="AB13" s="28">
        <v>26</v>
      </c>
      <c r="AC13" s="177" t="s">
        <v>117</v>
      </c>
      <c r="AD13" s="14">
        <f t="shared" si="11"/>
        <v>0.4</v>
      </c>
      <c r="AE13" s="177" t="s">
        <v>116</v>
      </c>
      <c r="AF13" s="115">
        <f t="shared" si="12"/>
        <v>0.4</v>
      </c>
      <c r="AP13" s="65">
        <f t="shared" si="15"/>
        <v>2030</v>
      </c>
      <c r="AQ13" s="78">
        <f t="shared" si="13"/>
        <v>1.3267894018689887</v>
      </c>
      <c r="AR13" s="170">
        <f t="shared" si="17"/>
        <v>1.03</v>
      </c>
      <c r="AS13" s="167">
        <f t="shared" si="2"/>
        <v>598382.02024291398</v>
      </c>
      <c r="AT13" s="65">
        <f t="shared" si="16"/>
        <v>2030</v>
      </c>
      <c r="AU13" s="78">
        <f t="shared" si="14"/>
        <v>1.3136528731376125</v>
      </c>
      <c r="AV13" s="173">
        <f t="shared" si="18"/>
        <v>1.03</v>
      </c>
      <c r="AX13" s="66" t="s">
        <v>454</v>
      </c>
      <c r="BC13" s="28">
        <v>2026</v>
      </c>
      <c r="BD13" s="142">
        <f t="shared" ref="BD13:BD32" si="21">ROUND((BD12*1.029),-3)</f>
        <v>1340000</v>
      </c>
    </row>
    <row r="14" spans="1:56" ht="15.75" thickBot="1" x14ac:dyDescent="0.3">
      <c r="B14" s="1" t="s">
        <v>20</v>
      </c>
      <c r="C14" s="1">
        <v>66</v>
      </c>
      <c r="D14" s="1">
        <v>1</v>
      </c>
      <c r="E14" s="42">
        <f>VLOOKUP(F14,$S$13:$X$27,6,FALSE)*VLOOKUP(C14,H:Q,5,FALSE)</f>
        <v>311651.51460110774</v>
      </c>
      <c r="F14" s="36" t="str">
        <f>IF(D14=1,VLOOKUP(C14,$AB$5:$AF$88,2,FALSE),VLOOKUP(C14,$AB$5:$AF$88,4,FALSE))</f>
        <v>Forsker 4</v>
      </c>
      <c r="H14" s="127">
        <v>11</v>
      </c>
      <c r="I14" s="134">
        <v>239900</v>
      </c>
      <c r="J14" s="134"/>
      <c r="K14" s="129">
        <v>239700</v>
      </c>
      <c r="L14" s="129">
        <f t="shared" si="3"/>
        <v>313934.91553846159</v>
      </c>
      <c r="M14" s="129">
        <f t="shared" si="5"/>
        <v>74234.915538461588</v>
      </c>
      <c r="N14" s="130">
        <f t="shared" si="4"/>
        <v>0.30969927216713222</v>
      </c>
      <c r="O14" s="131">
        <v>19975</v>
      </c>
      <c r="P14" s="132"/>
      <c r="Q14" s="133">
        <v>665.9</v>
      </c>
      <c r="S14" s="28" t="s">
        <v>116</v>
      </c>
      <c r="T14" s="289">
        <v>351</v>
      </c>
      <c r="U14" s="15">
        <f t="shared" ref="U14:U20" si="22">ROUND(T14*X14,0)</f>
        <v>140</v>
      </c>
      <c r="V14" s="15">
        <f>T14+U14</f>
        <v>491</v>
      </c>
      <c r="W14" s="36" t="s">
        <v>462</v>
      </c>
      <c r="X14" s="106">
        <v>0.4</v>
      </c>
      <c r="AB14" s="28">
        <v>27</v>
      </c>
      <c r="AC14" s="177" t="s">
        <v>117</v>
      </c>
      <c r="AD14" s="14">
        <f t="shared" si="11"/>
        <v>0.4</v>
      </c>
      <c r="AE14" s="177" t="s">
        <v>116</v>
      </c>
      <c r="AF14" s="115">
        <f t="shared" si="12"/>
        <v>0.4</v>
      </c>
      <c r="AP14" s="65">
        <f t="shared" si="15"/>
        <v>2031</v>
      </c>
      <c r="AQ14" s="78">
        <f t="shared" si="13"/>
        <v>1.3665930839250584</v>
      </c>
      <c r="AR14" s="170">
        <f t="shared" si="17"/>
        <v>1.03</v>
      </c>
      <c r="AS14" s="167">
        <f t="shared" si="2"/>
        <v>616333.48085020133</v>
      </c>
      <c r="AT14" s="65">
        <f t="shared" si="16"/>
        <v>2031</v>
      </c>
      <c r="AU14" s="78">
        <f t="shared" si="14"/>
        <v>1.3530624593317409</v>
      </c>
      <c r="AV14" s="173">
        <f t="shared" si="18"/>
        <v>1.03</v>
      </c>
      <c r="AX14" s="67" t="s">
        <v>455</v>
      </c>
      <c r="AY14" s="69" t="s">
        <v>296</v>
      </c>
      <c r="BC14" s="28">
        <v>2027</v>
      </c>
      <c r="BD14" s="142">
        <f t="shared" si="21"/>
        <v>1379000</v>
      </c>
    </row>
    <row r="15" spans="1:56" x14ac:dyDescent="0.25">
      <c r="B15" s="1" t="s">
        <v>64</v>
      </c>
      <c r="C15" s="1">
        <v>23</v>
      </c>
      <c r="D15" s="1">
        <v>1</v>
      </c>
      <c r="E15" s="42">
        <f t="shared" si="19"/>
        <v>165397.97795058461</v>
      </c>
      <c r="F15" s="36" t="str">
        <f t="shared" si="20"/>
        <v>Forsker 7</v>
      </c>
      <c r="H15" s="127">
        <v>12</v>
      </c>
      <c r="I15" s="134">
        <v>242400</v>
      </c>
      <c r="J15" s="134"/>
      <c r="K15" s="129">
        <v>242200</v>
      </c>
      <c r="L15" s="129">
        <f t="shared" si="3"/>
        <v>317193.34823076928</v>
      </c>
      <c r="M15" s="129">
        <f t="shared" si="5"/>
        <v>74993.348230769276</v>
      </c>
      <c r="N15" s="130">
        <f t="shared" si="4"/>
        <v>0.30963397287683431</v>
      </c>
      <c r="O15" s="131">
        <v>20183.399999999998</v>
      </c>
      <c r="P15" s="132"/>
      <c r="Q15" s="133">
        <v>672.80000000000007</v>
      </c>
      <c r="S15" s="28" t="s">
        <v>118</v>
      </c>
      <c r="T15" s="289">
        <v>414</v>
      </c>
      <c r="U15" s="15">
        <f t="shared" si="22"/>
        <v>166</v>
      </c>
      <c r="V15" s="15">
        <f t="shared" ref="V15:V27" si="23">T15+U15</f>
        <v>580</v>
      </c>
      <c r="W15" s="36" t="s">
        <v>463</v>
      </c>
      <c r="X15" s="106">
        <v>0.4</v>
      </c>
      <c r="AB15" s="28">
        <v>28</v>
      </c>
      <c r="AC15" s="177" t="s">
        <v>117</v>
      </c>
      <c r="AD15" s="14">
        <f t="shared" si="11"/>
        <v>0.4</v>
      </c>
      <c r="AE15" s="177" t="s">
        <v>116</v>
      </c>
      <c r="AF15" s="115">
        <f t="shared" si="12"/>
        <v>0.4</v>
      </c>
      <c r="AP15" s="65">
        <f t="shared" si="15"/>
        <v>2032</v>
      </c>
      <c r="AQ15" s="78">
        <f t="shared" si="13"/>
        <v>1.4075908764428102</v>
      </c>
      <c r="AR15" s="170">
        <f t="shared" si="17"/>
        <v>1.03</v>
      </c>
      <c r="AS15" s="167">
        <f t="shared" si="2"/>
        <v>634823.48527570744</v>
      </c>
      <c r="AT15" s="65">
        <f t="shared" si="16"/>
        <v>2032</v>
      </c>
      <c r="AU15" s="78">
        <f t="shared" si="14"/>
        <v>1.3936543331116931</v>
      </c>
      <c r="AV15" s="173">
        <f t="shared" si="18"/>
        <v>1.03</v>
      </c>
      <c r="AY15" s="68" t="s">
        <v>297</v>
      </c>
      <c r="BC15" s="28">
        <v>2028</v>
      </c>
      <c r="BD15" s="142">
        <f t="shared" si="21"/>
        <v>1419000</v>
      </c>
    </row>
    <row r="16" spans="1:56" ht="15.75" thickBot="1" x14ac:dyDescent="0.3">
      <c r="B16" s="1" t="s">
        <v>2</v>
      </c>
      <c r="C16" s="1">
        <v>50</v>
      </c>
      <c r="D16" s="1">
        <v>0</v>
      </c>
      <c r="E16" s="42">
        <f t="shared" si="19"/>
        <v>235905.13322298462</v>
      </c>
      <c r="F16" s="36" t="str">
        <f>IF(D16=1,VLOOKUP(C16,$AB$5:$AF$88,2,FALSE),VLOOKUP(C16,$AB$5:$AF$88,4,FALSE))</f>
        <v>Tekn./Adm. 7</v>
      </c>
      <c r="H16" s="127">
        <v>13</v>
      </c>
      <c r="I16" s="134">
        <v>244900</v>
      </c>
      <c r="J16" s="134"/>
      <c r="K16" s="129">
        <v>244700</v>
      </c>
      <c r="L16" s="129">
        <f t="shared" si="3"/>
        <v>320451.78092307702</v>
      </c>
      <c r="M16" s="129">
        <f t="shared" si="5"/>
        <v>75751.780923077022</v>
      </c>
      <c r="N16" s="130">
        <f t="shared" si="4"/>
        <v>0.30957000785891714</v>
      </c>
      <c r="O16" s="131">
        <v>20391.699999999997</v>
      </c>
      <c r="P16" s="132"/>
      <c r="Q16" s="133">
        <v>679.80000000000007</v>
      </c>
      <c r="S16" s="28" t="s">
        <v>120</v>
      </c>
      <c r="T16" s="289">
        <v>462</v>
      </c>
      <c r="U16" s="15">
        <f t="shared" si="22"/>
        <v>185</v>
      </c>
      <c r="V16" s="15">
        <f t="shared" si="23"/>
        <v>647</v>
      </c>
      <c r="W16" s="36" t="s">
        <v>464</v>
      </c>
      <c r="X16" s="106">
        <v>0.4</v>
      </c>
      <c r="AB16" s="28">
        <v>29</v>
      </c>
      <c r="AC16" s="177" t="s">
        <v>117</v>
      </c>
      <c r="AD16" s="14">
        <f t="shared" si="11"/>
        <v>0.4</v>
      </c>
      <c r="AE16" s="177" t="s">
        <v>116</v>
      </c>
      <c r="AF16" s="115">
        <f t="shared" si="12"/>
        <v>0.4</v>
      </c>
      <c r="AP16" s="65">
        <f t="shared" si="15"/>
        <v>2033</v>
      </c>
      <c r="AQ16" s="78">
        <f t="shared" si="13"/>
        <v>1.4498186027360946</v>
      </c>
      <c r="AR16" s="170">
        <f t="shared" si="17"/>
        <v>1.03</v>
      </c>
      <c r="AS16" s="167">
        <f t="shared" si="2"/>
        <v>653868.18983397866</v>
      </c>
      <c r="AT16" s="65">
        <f t="shared" si="16"/>
        <v>2033</v>
      </c>
      <c r="AU16" s="78">
        <f t="shared" si="14"/>
        <v>1.4354639631050439</v>
      </c>
      <c r="AV16" s="173">
        <f t="shared" si="18"/>
        <v>1.03</v>
      </c>
      <c r="AY16" s="67" t="s">
        <v>298</v>
      </c>
      <c r="BC16" s="28">
        <v>2029</v>
      </c>
      <c r="BD16" s="142">
        <f t="shared" si="21"/>
        <v>1460000</v>
      </c>
    </row>
    <row r="17" spans="1:56" ht="15.75" thickBot="1" x14ac:dyDescent="0.3">
      <c r="B17" s="1" t="s">
        <v>43</v>
      </c>
      <c r="C17" s="1">
        <v>68</v>
      </c>
      <c r="D17" s="1">
        <v>0</v>
      </c>
      <c r="E17" s="42">
        <f t="shared" si="19"/>
        <v>322909.84269987699</v>
      </c>
      <c r="F17" s="36" t="str">
        <f t="shared" si="20"/>
        <v>Tekn./Adm. 4</v>
      </c>
      <c r="H17" s="127">
        <v>14</v>
      </c>
      <c r="I17" s="134">
        <v>247400</v>
      </c>
      <c r="J17" s="134"/>
      <c r="K17" s="129">
        <v>247200</v>
      </c>
      <c r="L17" s="129">
        <f t="shared" si="3"/>
        <v>323710.21361538465</v>
      </c>
      <c r="M17" s="129">
        <f t="shared" si="5"/>
        <v>76510.213615384651</v>
      </c>
      <c r="N17" s="130">
        <f t="shared" si="4"/>
        <v>0.30950733663181496</v>
      </c>
      <c r="O17" s="131">
        <v>20600</v>
      </c>
      <c r="P17" s="132"/>
      <c r="Q17" s="133">
        <v>686.7</v>
      </c>
      <c r="S17" s="28" t="s">
        <v>122</v>
      </c>
      <c r="T17" s="289">
        <v>520</v>
      </c>
      <c r="U17" s="15">
        <f t="shared" si="22"/>
        <v>208</v>
      </c>
      <c r="V17" s="15">
        <f t="shared" si="23"/>
        <v>728</v>
      </c>
      <c r="W17" s="36" t="s">
        <v>465</v>
      </c>
      <c r="X17" s="106">
        <v>0.4</v>
      </c>
      <c r="AB17" s="28">
        <v>30</v>
      </c>
      <c r="AC17" s="177" t="s">
        <v>117</v>
      </c>
      <c r="AD17" s="14">
        <f t="shared" si="11"/>
        <v>0.4</v>
      </c>
      <c r="AE17" s="177" t="s">
        <v>116</v>
      </c>
      <c r="AF17" s="115">
        <f t="shared" si="12"/>
        <v>0.4</v>
      </c>
      <c r="AP17" s="65">
        <f t="shared" si="15"/>
        <v>2034</v>
      </c>
      <c r="AQ17" s="78">
        <f t="shared" si="13"/>
        <v>1.4933131608181776</v>
      </c>
      <c r="AR17" s="170">
        <f t="shared" si="17"/>
        <v>1.03</v>
      </c>
      <c r="AS17" s="167">
        <f t="shared" si="2"/>
        <v>673484.23552899808</v>
      </c>
      <c r="AT17" s="65">
        <f t="shared" si="16"/>
        <v>2034</v>
      </c>
      <c r="AU17" s="78">
        <f t="shared" si="14"/>
        <v>1.4785278819981953</v>
      </c>
      <c r="AV17" s="173">
        <f t="shared" si="18"/>
        <v>1.03</v>
      </c>
      <c r="BC17" s="28">
        <v>2030</v>
      </c>
      <c r="BD17" s="142">
        <f t="shared" si="21"/>
        <v>1502000</v>
      </c>
    </row>
    <row r="18" spans="1:56" x14ac:dyDescent="0.25">
      <c r="B18" s="1" t="s">
        <v>30</v>
      </c>
      <c r="C18" s="1">
        <v>46</v>
      </c>
      <c r="D18" s="1">
        <v>0</v>
      </c>
      <c r="E18" s="42">
        <f t="shared" si="19"/>
        <v>220694.69642640004</v>
      </c>
      <c r="F18" s="36" t="str">
        <f t="shared" si="20"/>
        <v>Tekn./Adm. 7</v>
      </c>
      <c r="H18" s="127">
        <v>15</v>
      </c>
      <c r="I18" s="134">
        <v>250100</v>
      </c>
      <c r="J18" s="134"/>
      <c r="K18" s="129">
        <v>249900</v>
      </c>
      <c r="L18" s="129">
        <f t="shared" si="3"/>
        <v>327229.320923077</v>
      </c>
      <c r="M18" s="129">
        <f t="shared" si="5"/>
        <v>77329.320923077001</v>
      </c>
      <c r="N18" s="130">
        <f t="shared" si="4"/>
        <v>0.30944106011635453</v>
      </c>
      <c r="O18" s="131">
        <v>20825</v>
      </c>
      <c r="P18" s="132"/>
      <c r="Q18" s="133">
        <v>694.2</v>
      </c>
      <c r="S18" s="28" t="s">
        <v>124</v>
      </c>
      <c r="T18" s="289">
        <v>599</v>
      </c>
      <c r="U18" s="15">
        <f t="shared" si="22"/>
        <v>240</v>
      </c>
      <c r="V18" s="15">
        <f t="shared" si="23"/>
        <v>839</v>
      </c>
      <c r="W18" s="36" t="s">
        <v>466</v>
      </c>
      <c r="X18" s="106">
        <v>0.4</v>
      </c>
      <c r="AB18" s="28">
        <v>31</v>
      </c>
      <c r="AC18" s="177" t="s">
        <v>117</v>
      </c>
      <c r="AD18" s="14">
        <f t="shared" si="11"/>
        <v>0.4</v>
      </c>
      <c r="AE18" s="177" t="s">
        <v>116</v>
      </c>
      <c r="AF18" s="115">
        <f t="shared" si="12"/>
        <v>0.4</v>
      </c>
      <c r="AP18" s="65">
        <f t="shared" si="15"/>
        <v>2035</v>
      </c>
      <c r="AQ18" s="78">
        <f t="shared" si="13"/>
        <v>1.5381125556427229</v>
      </c>
      <c r="AR18" s="170">
        <f t="shared" si="17"/>
        <v>1.03</v>
      </c>
      <c r="AS18" s="167">
        <f t="shared" si="2"/>
        <v>693688.76259486796</v>
      </c>
      <c r="AT18" s="65">
        <f t="shared" si="16"/>
        <v>2035</v>
      </c>
      <c r="AU18" s="78">
        <f t="shared" si="14"/>
        <v>1.5228837184581412</v>
      </c>
      <c r="AV18" s="173">
        <f t="shared" si="18"/>
        <v>1.03</v>
      </c>
      <c r="AX18" s="69" t="s">
        <v>299</v>
      </c>
      <c r="BC18" s="28">
        <v>2031</v>
      </c>
      <c r="BD18" s="142">
        <f t="shared" si="21"/>
        <v>1546000</v>
      </c>
    </row>
    <row r="19" spans="1:56" x14ac:dyDescent="0.25">
      <c r="B19" s="1" t="s">
        <v>26</v>
      </c>
      <c r="C19" s="1">
        <v>19</v>
      </c>
      <c r="D19" s="1">
        <v>0</v>
      </c>
      <c r="E19" s="42">
        <f t="shared" si="19"/>
        <v>157648.0590732923</v>
      </c>
      <c r="F19" s="36" t="str">
        <f t="shared" si="20"/>
        <v>Tekn./Adm. 7</v>
      </c>
      <c r="H19" s="127">
        <v>16</v>
      </c>
      <c r="I19" s="134">
        <v>253200</v>
      </c>
      <c r="J19" s="134"/>
      <c r="K19" s="129">
        <v>253000</v>
      </c>
      <c r="L19" s="129">
        <f t="shared" si="3"/>
        <v>331269.7774615385</v>
      </c>
      <c r="M19" s="129">
        <f t="shared" si="5"/>
        <v>78269.777461538499</v>
      </c>
      <c r="N19" s="130">
        <f t="shared" si="4"/>
        <v>0.30936670933414429</v>
      </c>
      <c r="O19" s="131">
        <v>21083.399999999998</v>
      </c>
      <c r="P19" s="132"/>
      <c r="Q19" s="133">
        <v>702.80000000000007</v>
      </c>
      <c r="S19" s="28" t="s">
        <v>127</v>
      </c>
      <c r="T19" s="289">
        <v>752</v>
      </c>
      <c r="U19" s="15">
        <f t="shared" si="22"/>
        <v>301</v>
      </c>
      <c r="V19" s="15">
        <f t="shared" si="23"/>
        <v>1053</v>
      </c>
      <c r="W19" s="36" t="s">
        <v>467</v>
      </c>
      <c r="X19" s="106">
        <v>0.4</v>
      </c>
      <c r="AB19" s="28">
        <v>32</v>
      </c>
      <c r="AC19" s="177" t="s">
        <v>117</v>
      </c>
      <c r="AD19" s="14">
        <f t="shared" si="11"/>
        <v>0.4</v>
      </c>
      <c r="AE19" s="177" t="s">
        <v>116</v>
      </c>
      <c r="AF19" s="115">
        <f t="shared" si="12"/>
        <v>0.4</v>
      </c>
      <c r="AP19" s="65">
        <f t="shared" si="15"/>
        <v>2036</v>
      </c>
      <c r="AQ19" s="78">
        <f t="shared" si="13"/>
        <v>1.5842559323120047</v>
      </c>
      <c r="AR19" s="170">
        <f t="shared" si="17"/>
        <v>1.03</v>
      </c>
      <c r="AS19" s="167">
        <f t="shared" si="2"/>
        <v>714499.42547271412</v>
      </c>
      <c r="AT19" s="65">
        <f t="shared" si="16"/>
        <v>2036</v>
      </c>
      <c r="AU19" s="78">
        <f t="shared" si="14"/>
        <v>1.5685702300118856</v>
      </c>
      <c r="AV19" s="173">
        <f t="shared" si="18"/>
        <v>1.03</v>
      </c>
      <c r="AX19" s="68" t="s">
        <v>300</v>
      </c>
      <c r="BC19" s="28">
        <v>2032</v>
      </c>
      <c r="BD19" s="142">
        <f t="shared" si="21"/>
        <v>1591000</v>
      </c>
    </row>
    <row r="20" spans="1:56" x14ac:dyDescent="0.25">
      <c r="B20" s="1" t="s">
        <v>60</v>
      </c>
      <c r="C20" s="1">
        <v>19</v>
      </c>
      <c r="D20" s="1">
        <v>0</v>
      </c>
      <c r="E20" s="42">
        <f t="shared" si="19"/>
        <v>157648.0590732923</v>
      </c>
      <c r="F20" s="36" t="str">
        <f t="shared" si="20"/>
        <v>Tekn./Adm. 7</v>
      </c>
      <c r="H20" s="127">
        <v>17</v>
      </c>
      <c r="I20" s="134">
        <v>256600</v>
      </c>
      <c r="J20" s="134"/>
      <c r="K20" s="129">
        <v>256400</v>
      </c>
      <c r="L20" s="129">
        <f t="shared" si="3"/>
        <v>335701.24592307699</v>
      </c>
      <c r="M20" s="129">
        <f t="shared" si="5"/>
        <v>79301.245923076989</v>
      </c>
      <c r="N20" s="130">
        <f t="shared" si="4"/>
        <v>0.3092872305892238</v>
      </c>
      <c r="O20" s="131">
        <v>21366.699999999997</v>
      </c>
      <c r="P20" s="132"/>
      <c r="Q20" s="133">
        <v>712.30000000000007</v>
      </c>
      <c r="S20" s="28" t="s">
        <v>128</v>
      </c>
      <c r="T20" s="289">
        <v>1004</v>
      </c>
      <c r="U20" s="15">
        <f t="shared" si="22"/>
        <v>402</v>
      </c>
      <c r="V20" s="15">
        <f t="shared" si="23"/>
        <v>1406</v>
      </c>
      <c r="W20" s="36" t="s">
        <v>468</v>
      </c>
      <c r="X20" s="106">
        <v>0.4</v>
      </c>
      <c r="AB20" s="28">
        <v>33</v>
      </c>
      <c r="AC20" s="177" t="s">
        <v>117</v>
      </c>
      <c r="AD20" s="14">
        <f t="shared" si="11"/>
        <v>0.4</v>
      </c>
      <c r="AE20" s="177" t="s">
        <v>116</v>
      </c>
      <c r="AF20" s="115">
        <f t="shared" si="12"/>
        <v>0.4</v>
      </c>
      <c r="AP20" s="65">
        <f t="shared" si="15"/>
        <v>2037</v>
      </c>
      <c r="AQ20" s="78">
        <f t="shared" si="13"/>
        <v>1.6317836102813648</v>
      </c>
      <c r="AR20" s="170">
        <f t="shared" si="17"/>
        <v>1.03</v>
      </c>
      <c r="AS20" s="167">
        <f t="shared" si="2"/>
        <v>735934.40823689546</v>
      </c>
      <c r="AT20" s="65">
        <f t="shared" si="16"/>
        <v>2037</v>
      </c>
      <c r="AU20" s="78">
        <f t="shared" si="14"/>
        <v>1.6156273369122423</v>
      </c>
      <c r="AV20" s="173">
        <f t="shared" si="18"/>
        <v>1.03</v>
      </c>
      <c r="AX20" s="68" t="s">
        <v>301</v>
      </c>
      <c r="BC20" s="28">
        <v>2033</v>
      </c>
      <c r="BD20" s="142">
        <f t="shared" si="21"/>
        <v>1637000</v>
      </c>
    </row>
    <row r="21" spans="1:56" x14ac:dyDescent="0.25">
      <c r="A21" s="28"/>
      <c r="B21" s="1" t="s">
        <v>35</v>
      </c>
      <c r="C21" s="1">
        <v>21</v>
      </c>
      <c r="D21" s="1">
        <v>0</v>
      </c>
      <c r="E21" s="42">
        <f t="shared" si="19"/>
        <v>161470.65419520004</v>
      </c>
      <c r="F21" s="36" t="str">
        <f t="shared" si="20"/>
        <v>Tekn./Adm. 7</v>
      </c>
      <c r="H21" s="127">
        <v>18</v>
      </c>
      <c r="I21" s="134">
        <v>260000</v>
      </c>
      <c r="J21" s="134"/>
      <c r="K21" s="129">
        <v>259800</v>
      </c>
      <c r="L21" s="129">
        <f t="shared" si="3"/>
        <v>340132.71438461542</v>
      </c>
      <c r="M21" s="129">
        <f t="shared" si="5"/>
        <v>80332.714384615421</v>
      </c>
      <c r="N21" s="130">
        <f t="shared" si="4"/>
        <v>0.30920983211938191</v>
      </c>
      <c r="O21" s="131">
        <v>21650</v>
      </c>
      <c r="P21" s="132"/>
      <c r="Q21" s="133">
        <v>721.7</v>
      </c>
      <c r="S21" s="28" t="s">
        <v>117</v>
      </c>
      <c r="T21" s="289">
        <v>283</v>
      </c>
      <c r="U21" s="15">
        <f>ROUND(T21*X21,0)</f>
        <v>113</v>
      </c>
      <c r="V21" s="15">
        <f t="shared" si="23"/>
        <v>396</v>
      </c>
      <c r="W21" s="36" t="str">
        <f t="shared" ref="W21:W27" si="24">W14</f>
        <v>&lt; 463'</v>
      </c>
      <c r="X21" s="106">
        <v>0.4</v>
      </c>
      <c r="AB21" s="28">
        <v>34</v>
      </c>
      <c r="AC21" s="177" t="s">
        <v>117</v>
      </c>
      <c r="AD21" s="14">
        <f t="shared" si="11"/>
        <v>0.4</v>
      </c>
      <c r="AE21" s="177" t="s">
        <v>116</v>
      </c>
      <c r="AF21" s="115">
        <f t="shared" si="12"/>
        <v>0.4</v>
      </c>
      <c r="AP21" s="65">
        <f t="shared" si="15"/>
        <v>2038</v>
      </c>
      <c r="AQ21" s="78">
        <f t="shared" si="13"/>
        <v>1.6807371185898057</v>
      </c>
      <c r="AR21" s="170">
        <f t="shared" si="17"/>
        <v>1.03</v>
      </c>
      <c r="AS21" s="167">
        <f t="shared" si="2"/>
        <v>758012.44048400235</v>
      </c>
      <c r="AT21" s="65">
        <f t="shared" si="16"/>
        <v>2038</v>
      </c>
      <c r="AU21" s="78">
        <f t="shared" si="14"/>
        <v>1.6640961570196096</v>
      </c>
      <c r="AV21" s="173">
        <f t="shared" si="18"/>
        <v>1.03</v>
      </c>
      <c r="AX21" s="68" t="s">
        <v>302</v>
      </c>
      <c r="BC21" s="28">
        <v>2034</v>
      </c>
      <c r="BD21" s="142">
        <f t="shared" si="21"/>
        <v>1684000</v>
      </c>
    </row>
    <row r="22" spans="1:56" x14ac:dyDescent="0.25">
      <c r="A22" s="28"/>
      <c r="B22" s="1" t="s">
        <v>36</v>
      </c>
      <c r="C22" s="1">
        <v>27</v>
      </c>
      <c r="D22" s="1">
        <v>0</v>
      </c>
      <c r="E22" s="42">
        <f t="shared" si="19"/>
        <v>173880.99726221542</v>
      </c>
      <c r="F22" s="36" t="str">
        <f t="shared" si="20"/>
        <v>Tekn./Adm. 7</v>
      </c>
      <c r="H22" s="57">
        <v>19</v>
      </c>
      <c r="I22" s="288">
        <v>301621.32</v>
      </c>
      <c r="J22" s="3"/>
      <c r="K22" s="4">
        <f>I22-400</f>
        <v>301221.32</v>
      </c>
      <c r="L22" s="2">
        <f t="shared" si="3"/>
        <v>394120.14768323075</v>
      </c>
      <c r="M22" s="2">
        <f t="shared" si="5"/>
        <v>92898.827683230746</v>
      </c>
      <c r="N22" s="18">
        <f t="shared" si="4"/>
        <v>0.30840721262104137</v>
      </c>
      <c r="O22" s="135"/>
      <c r="P22" s="6"/>
      <c r="Q22" s="136"/>
      <c r="R22" s="137"/>
      <c r="S22" s="28" t="s">
        <v>119</v>
      </c>
      <c r="T22" s="289">
        <v>413</v>
      </c>
      <c r="U22" s="15">
        <f t="shared" ref="U22:U27" si="25">ROUND(T22*X22,0)</f>
        <v>165</v>
      </c>
      <c r="V22" s="15">
        <f t="shared" si="23"/>
        <v>578</v>
      </c>
      <c r="W22" s="36" t="str">
        <f t="shared" si="24"/>
        <v>463'-528'</v>
      </c>
      <c r="X22" s="106">
        <v>0.4</v>
      </c>
      <c r="AB22" s="28">
        <v>35</v>
      </c>
      <c r="AC22" s="177" t="s">
        <v>117</v>
      </c>
      <c r="AD22" s="14">
        <f t="shared" si="11"/>
        <v>0.4</v>
      </c>
      <c r="AE22" s="177" t="s">
        <v>116</v>
      </c>
      <c r="AF22" s="115">
        <f t="shared" si="12"/>
        <v>0.4</v>
      </c>
      <c r="AP22" s="65">
        <f t="shared" si="15"/>
        <v>2039</v>
      </c>
      <c r="AQ22" s="78">
        <f t="shared" si="13"/>
        <v>1.7311592321475</v>
      </c>
      <c r="AR22" s="170">
        <f t="shared" si="17"/>
        <v>1.03</v>
      </c>
      <c r="AS22" s="167">
        <f t="shared" si="2"/>
        <v>780752.81369852251</v>
      </c>
      <c r="AT22" s="65">
        <f t="shared" si="16"/>
        <v>2039</v>
      </c>
      <c r="AU22" s="78">
        <f t="shared" si="14"/>
        <v>1.7140190417301979</v>
      </c>
      <c r="AV22" s="173">
        <f t="shared" si="18"/>
        <v>1.03</v>
      </c>
      <c r="AX22" s="68" t="s">
        <v>303</v>
      </c>
      <c r="BC22" s="28">
        <v>2035</v>
      </c>
      <c r="BD22" s="142">
        <f t="shared" si="21"/>
        <v>1733000</v>
      </c>
    </row>
    <row r="23" spans="1:56" x14ac:dyDescent="0.25">
      <c r="A23" s="28"/>
      <c r="B23" s="1" t="s">
        <v>37</v>
      </c>
      <c r="C23" s="1">
        <v>28</v>
      </c>
      <c r="D23" s="1">
        <v>0</v>
      </c>
      <c r="E23" s="42">
        <f t="shared" si="19"/>
        <v>175975.56993175391</v>
      </c>
      <c r="F23" s="36" t="str">
        <f t="shared" si="20"/>
        <v>Tekn./Adm. 7</v>
      </c>
      <c r="H23" s="57">
        <v>20</v>
      </c>
      <c r="I23" s="288">
        <v>305136.71999999997</v>
      </c>
      <c r="J23" s="3"/>
      <c r="K23" s="4">
        <f t="shared" ref="K23:K86" si="26">I23-400</f>
        <v>304736.71999999997</v>
      </c>
      <c r="L23" s="2">
        <f t="shared" si="3"/>
        <v>398702.02539784618</v>
      </c>
      <c r="M23" s="2">
        <f t="shared" si="5"/>
        <v>93965.305397846212</v>
      </c>
      <c r="N23" s="18">
        <f t="shared" si="4"/>
        <v>0.30834913953870152</v>
      </c>
      <c r="O23" s="135"/>
      <c r="P23" s="6"/>
      <c r="Q23" s="136"/>
      <c r="R23" s="137"/>
      <c r="S23" s="28" t="s">
        <v>121</v>
      </c>
      <c r="T23" s="289">
        <v>467</v>
      </c>
      <c r="U23" s="15">
        <f t="shared" si="25"/>
        <v>187</v>
      </c>
      <c r="V23" s="15">
        <f t="shared" si="23"/>
        <v>654</v>
      </c>
      <c r="W23" s="36" t="str">
        <f t="shared" si="24"/>
        <v>528'-596'</v>
      </c>
      <c r="X23" s="106">
        <v>0.4</v>
      </c>
      <c r="AB23" s="28">
        <v>36</v>
      </c>
      <c r="AC23" s="177" t="s">
        <v>117</v>
      </c>
      <c r="AD23" s="14">
        <f t="shared" si="11"/>
        <v>0.4</v>
      </c>
      <c r="AE23" s="177" t="s">
        <v>116</v>
      </c>
      <c r="AF23" s="115">
        <f t="shared" si="12"/>
        <v>0.4</v>
      </c>
      <c r="AP23" s="65">
        <f t="shared" si="15"/>
        <v>2040</v>
      </c>
      <c r="AQ23" s="78">
        <f t="shared" si="13"/>
        <v>1.7830940091119249</v>
      </c>
      <c r="AR23" s="170">
        <f t="shared" si="17"/>
        <v>1.03</v>
      </c>
      <c r="AS23" s="167">
        <f t="shared" si="2"/>
        <v>804175.39810947818</v>
      </c>
      <c r="AT23" s="65">
        <f t="shared" si="16"/>
        <v>2040</v>
      </c>
      <c r="AU23" s="78">
        <f t="shared" si="14"/>
        <v>1.7654396129821039</v>
      </c>
      <c r="AV23" s="173">
        <f t="shared" si="18"/>
        <v>1.03</v>
      </c>
      <c r="AX23" s="82" t="s">
        <v>304</v>
      </c>
      <c r="BC23" s="28">
        <v>2036</v>
      </c>
      <c r="BD23" s="142">
        <f t="shared" si="21"/>
        <v>1783000</v>
      </c>
    </row>
    <row r="24" spans="1:56" ht="15.75" thickBot="1" x14ac:dyDescent="0.3">
      <c r="A24" s="28"/>
      <c r="B24" s="1" t="s">
        <v>48</v>
      </c>
      <c r="C24" s="1">
        <v>31</v>
      </c>
      <c r="D24" s="1">
        <v>0</v>
      </c>
      <c r="E24" s="42">
        <f t="shared" si="19"/>
        <v>181892.73772320003</v>
      </c>
      <c r="F24" s="36" t="str">
        <f t="shared" si="20"/>
        <v>Tekn./Adm. 7</v>
      </c>
      <c r="H24" s="57">
        <v>21</v>
      </c>
      <c r="I24" s="288">
        <v>308953.44</v>
      </c>
      <c r="J24" s="3"/>
      <c r="K24" s="4">
        <f t="shared" si="26"/>
        <v>308553.44</v>
      </c>
      <c r="L24" s="2">
        <f t="shared" si="3"/>
        <v>403676.63548800006</v>
      </c>
      <c r="M24" s="2">
        <f t="shared" si="5"/>
        <v>95123.195488000056</v>
      </c>
      <c r="N24" s="18">
        <f t="shared" si="4"/>
        <v>0.30828758703192566</v>
      </c>
      <c r="O24" s="135"/>
      <c r="P24" s="6"/>
      <c r="Q24" s="136"/>
      <c r="R24" s="137"/>
      <c r="S24" s="28" t="s">
        <v>123</v>
      </c>
      <c r="T24" s="289">
        <v>525</v>
      </c>
      <c r="U24" s="15">
        <f t="shared" si="25"/>
        <v>210</v>
      </c>
      <c r="V24" s="15">
        <f t="shared" si="23"/>
        <v>735</v>
      </c>
      <c r="W24" s="36" t="str">
        <f t="shared" si="24"/>
        <v>596'-675'</v>
      </c>
      <c r="X24" s="106">
        <v>0.4</v>
      </c>
      <c r="AB24" s="28">
        <v>37</v>
      </c>
      <c r="AC24" s="177" t="s">
        <v>117</v>
      </c>
      <c r="AD24" s="14">
        <f t="shared" si="11"/>
        <v>0.4</v>
      </c>
      <c r="AE24" s="177" t="s">
        <v>116</v>
      </c>
      <c r="AF24" s="115">
        <f t="shared" si="12"/>
        <v>0.4</v>
      </c>
      <c r="AP24" s="65">
        <f t="shared" si="15"/>
        <v>2041</v>
      </c>
      <c r="AQ24" s="78">
        <f t="shared" si="13"/>
        <v>1.8365868293852827</v>
      </c>
      <c r="AR24" s="170">
        <f t="shared" si="17"/>
        <v>1.03</v>
      </c>
      <c r="AS24" s="167">
        <f t="shared" si="2"/>
        <v>828300.66005276248</v>
      </c>
      <c r="AT24" s="65">
        <f t="shared" si="16"/>
        <v>2041</v>
      </c>
      <c r="AU24" s="78">
        <f t="shared" si="14"/>
        <v>1.8184028013715672</v>
      </c>
      <c r="AV24" s="173">
        <f t="shared" si="18"/>
        <v>1.03</v>
      </c>
      <c r="AX24" s="67" t="s">
        <v>305</v>
      </c>
      <c r="BC24" s="28">
        <v>2037</v>
      </c>
      <c r="BD24" s="142">
        <f t="shared" si="21"/>
        <v>1835000</v>
      </c>
    </row>
    <row r="25" spans="1:56" x14ac:dyDescent="0.25">
      <c r="A25" s="28"/>
      <c r="B25" s="1" t="s">
        <v>45</v>
      </c>
      <c r="C25" s="1">
        <v>32</v>
      </c>
      <c r="D25" s="1">
        <v>0</v>
      </c>
      <c r="E25" s="42">
        <f t="shared" si="19"/>
        <v>184039.67470947697</v>
      </c>
      <c r="F25" s="36" t="str">
        <f t="shared" si="20"/>
        <v>Tekn./Adm. 7</v>
      </c>
      <c r="H25" s="57">
        <v>22</v>
      </c>
      <c r="I25" s="288">
        <v>312569.28000000003</v>
      </c>
      <c r="J25" s="3"/>
      <c r="K25" s="4">
        <f t="shared" si="26"/>
        <v>312169.28000000003</v>
      </c>
      <c r="L25" s="2">
        <f t="shared" si="3"/>
        <v>408389.4239944616</v>
      </c>
      <c r="M25" s="2">
        <f t="shared" si="5"/>
        <v>96220.14399446157</v>
      </c>
      <c r="N25" s="18">
        <f t="shared" si="4"/>
        <v>0.30823066252535025</v>
      </c>
      <c r="O25" s="135"/>
      <c r="P25" s="6"/>
      <c r="Q25" s="136"/>
      <c r="R25" s="137"/>
      <c r="S25" s="28" t="s">
        <v>125</v>
      </c>
      <c r="T25" s="289">
        <v>606</v>
      </c>
      <c r="U25" s="15">
        <f t="shared" si="25"/>
        <v>242</v>
      </c>
      <c r="V25" s="15">
        <f t="shared" si="23"/>
        <v>848</v>
      </c>
      <c r="W25" s="36" t="str">
        <f t="shared" si="24"/>
        <v>675'-797'</v>
      </c>
      <c r="X25" s="106">
        <v>0.4</v>
      </c>
      <c r="AB25" s="28">
        <v>38</v>
      </c>
      <c r="AC25" s="177" t="s">
        <v>117</v>
      </c>
      <c r="AD25" s="14">
        <f t="shared" si="11"/>
        <v>0.4</v>
      </c>
      <c r="AE25" s="177" t="s">
        <v>116</v>
      </c>
      <c r="AF25" s="115">
        <f t="shared" si="12"/>
        <v>0.4</v>
      </c>
      <c r="AP25" s="65">
        <f t="shared" si="15"/>
        <v>2042</v>
      </c>
      <c r="AQ25" s="78">
        <f t="shared" si="13"/>
        <v>1.8916844342668413</v>
      </c>
      <c r="AR25" s="170">
        <f t="shared" si="17"/>
        <v>1.03</v>
      </c>
      <c r="AS25" s="167">
        <f t="shared" si="2"/>
        <v>853149.67985434539</v>
      </c>
      <c r="AT25" s="65">
        <f t="shared" si="16"/>
        <v>2042</v>
      </c>
      <c r="AU25" s="78">
        <f t="shared" si="14"/>
        <v>1.8729548854127143</v>
      </c>
      <c r="AV25" s="173">
        <f t="shared" si="18"/>
        <v>1.03</v>
      </c>
      <c r="BC25" s="28">
        <v>2038</v>
      </c>
      <c r="BD25" s="142">
        <f t="shared" si="21"/>
        <v>1888000</v>
      </c>
    </row>
    <row r="26" spans="1:56" x14ac:dyDescent="0.25">
      <c r="A26" s="28"/>
      <c r="B26" s="1" t="s">
        <v>18</v>
      </c>
      <c r="C26" s="1">
        <v>33</v>
      </c>
      <c r="D26" s="1">
        <v>0</v>
      </c>
      <c r="E26" s="42">
        <f t="shared" si="19"/>
        <v>186029.51874553846</v>
      </c>
      <c r="F26" s="36" t="str">
        <f t="shared" si="20"/>
        <v>Tekn./Adm. 7</v>
      </c>
      <c r="H26" s="57">
        <v>23</v>
      </c>
      <c r="I26" s="288">
        <v>316486.44</v>
      </c>
      <c r="J26" s="3"/>
      <c r="K26" s="4">
        <f t="shared" si="26"/>
        <v>316086.44</v>
      </c>
      <c r="L26" s="2">
        <f t="shared" si="3"/>
        <v>413494.94487646152</v>
      </c>
      <c r="M26" s="2">
        <f t="shared" si="5"/>
        <v>97408.50487646152</v>
      </c>
      <c r="N26" s="18">
        <f t="shared" si="4"/>
        <v>0.30817046399225956</v>
      </c>
      <c r="O26" s="135"/>
      <c r="P26" s="6"/>
      <c r="Q26" s="136"/>
      <c r="R26" s="137"/>
      <c r="S26" s="28" t="s">
        <v>126</v>
      </c>
      <c r="T26" s="289">
        <v>725</v>
      </c>
      <c r="U26" s="15">
        <f t="shared" si="25"/>
        <v>290</v>
      </c>
      <c r="V26" s="15">
        <f t="shared" si="23"/>
        <v>1015</v>
      </c>
      <c r="W26" s="36" t="str">
        <f t="shared" si="24"/>
        <v>797'-1.058'</v>
      </c>
      <c r="X26" s="106">
        <v>0.4</v>
      </c>
      <c r="AB26" s="28">
        <v>39</v>
      </c>
      <c r="AC26" s="177" t="s">
        <v>117</v>
      </c>
      <c r="AD26" s="14">
        <f t="shared" si="11"/>
        <v>0.4</v>
      </c>
      <c r="AE26" s="177" t="s">
        <v>116</v>
      </c>
      <c r="AF26" s="115">
        <f t="shared" si="12"/>
        <v>0.4</v>
      </c>
      <c r="AP26" s="65">
        <f t="shared" si="15"/>
        <v>2043</v>
      </c>
      <c r="AQ26" s="78">
        <f t="shared" si="13"/>
        <v>1.9484349672948467</v>
      </c>
      <c r="AR26" s="170">
        <f t="shared" si="17"/>
        <v>1.03</v>
      </c>
      <c r="AS26" s="167">
        <f t="shared" si="2"/>
        <v>878744.17024997587</v>
      </c>
      <c r="AT26" s="65">
        <f t="shared" si="16"/>
        <v>2043</v>
      </c>
      <c r="AU26" s="78">
        <f t="shared" si="14"/>
        <v>1.9291435319750958</v>
      </c>
      <c r="AV26" s="173">
        <f t="shared" si="18"/>
        <v>1.03</v>
      </c>
      <c r="BC26" s="28">
        <v>2039</v>
      </c>
      <c r="BD26" s="142">
        <f t="shared" si="21"/>
        <v>1943000</v>
      </c>
    </row>
    <row r="27" spans="1:56" ht="15.75" thickBot="1" x14ac:dyDescent="0.3">
      <c r="A27" s="28"/>
      <c r="B27" s="1" t="s">
        <v>22</v>
      </c>
      <c r="C27" s="1">
        <v>34</v>
      </c>
      <c r="D27" s="1">
        <v>0</v>
      </c>
      <c r="E27" s="42">
        <f t="shared" si="19"/>
        <v>188228.8200485539</v>
      </c>
      <c r="F27" s="36" t="str">
        <f t="shared" si="20"/>
        <v>Tekn./Adm. 7</v>
      </c>
      <c r="H27" s="57">
        <v>24</v>
      </c>
      <c r="I27" s="288">
        <v>320403.59999999998</v>
      </c>
      <c r="J27" s="3"/>
      <c r="K27" s="4">
        <f t="shared" si="26"/>
        <v>320003.59999999998</v>
      </c>
      <c r="L27" s="2">
        <f t="shared" si="3"/>
        <v>418600.46575846156</v>
      </c>
      <c r="M27" s="2">
        <f t="shared" si="5"/>
        <v>98596.865758461587</v>
      </c>
      <c r="N27" s="18">
        <f t="shared" si="4"/>
        <v>0.30811173923812607</v>
      </c>
      <c r="O27" s="135"/>
      <c r="P27" s="6"/>
      <c r="Q27" s="136"/>
      <c r="R27" s="137"/>
      <c r="S27" s="37" t="s">
        <v>129</v>
      </c>
      <c r="T27" s="43">
        <v>978</v>
      </c>
      <c r="U27" s="43">
        <f t="shared" si="25"/>
        <v>391</v>
      </c>
      <c r="V27" s="43">
        <f t="shared" si="23"/>
        <v>1369</v>
      </c>
      <c r="W27" s="44" t="str">
        <f t="shared" si="24"/>
        <v>&gt;1.058'</v>
      </c>
      <c r="X27" s="141">
        <v>0.4</v>
      </c>
      <c r="AB27" s="28">
        <v>40</v>
      </c>
      <c r="AC27" s="177" t="s">
        <v>117</v>
      </c>
      <c r="AD27" s="14">
        <f t="shared" si="11"/>
        <v>0.4</v>
      </c>
      <c r="AE27" s="177" t="s">
        <v>116</v>
      </c>
      <c r="AF27" s="115">
        <f t="shared" si="12"/>
        <v>0.4</v>
      </c>
      <c r="AP27" s="65">
        <f t="shared" si="15"/>
        <v>2044</v>
      </c>
      <c r="AQ27" s="78">
        <f t="shared" si="13"/>
        <v>2.0068880163136922</v>
      </c>
      <c r="AR27" s="170">
        <f t="shared" si="17"/>
        <v>1.03</v>
      </c>
      <c r="AS27" s="167">
        <f t="shared" si="2"/>
        <v>905106.49535747513</v>
      </c>
      <c r="AT27" s="65">
        <f t="shared" si="16"/>
        <v>2044</v>
      </c>
      <c r="AU27" s="78">
        <f t="shared" si="14"/>
        <v>1.9870178379343488</v>
      </c>
      <c r="AV27" s="173">
        <f t="shared" si="18"/>
        <v>1.03</v>
      </c>
      <c r="BC27" s="28">
        <v>2040</v>
      </c>
      <c r="BD27" s="142">
        <f t="shared" si="21"/>
        <v>1999000</v>
      </c>
    </row>
    <row r="28" spans="1:56" x14ac:dyDescent="0.25">
      <c r="A28" s="28"/>
      <c r="B28" s="1" t="s">
        <v>13</v>
      </c>
      <c r="C28" s="1">
        <v>36</v>
      </c>
      <c r="D28" s="1">
        <v>0</v>
      </c>
      <c r="E28" s="42">
        <f t="shared" si="19"/>
        <v>192627.42265458463</v>
      </c>
      <c r="F28" s="36" t="str">
        <f t="shared" si="20"/>
        <v>Tekn./Adm. 7</v>
      </c>
      <c r="H28" s="57">
        <v>25</v>
      </c>
      <c r="I28" s="288">
        <v>324622.08000000002</v>
      </c>
      <c r="J28" s="3"/>
      <c r="K28" s="4">
        <f t="shared" si="26"/>
        <v>324222.08000000002</v>
      </c>
      <c r="L28" s="2">
        <f t="shared" si="3"/>
        <v>424098.71901600005</v>
      </c>
      <c r="M28" s="2">
        <f t="shared" si="5"/>
        <v>99876.63901600003</v>
      </c>
      <c r="N28" s="18">
        <f t="shared" si="4"/>
        <v>0.30805008411518436</v>
      </c>
      <c r="O28" s="135"/>
      <c r="P28" s="6"/>
      <c r="Q28" s="136"/>
      <c r="R28" s="137"/>
      <c r="AB28" s="28">
        <v>41</v>
      </c>
      <c r="AC28" s="177" t="s">
        <v>117</v>
      </c>
      <c r="AD28" s="14">
        <f t="shared" si="11"/>
        <v>0.4</v>
      </c>
      <c r="AE28" s="177" t="s">
        <v>116</v>
      </c>
      <c r="AF28" s="115">
        <f t="shared" si="12"/>
        <v>0.4</v>
      </c>
      <c r="AP28" s="65">
        <f t="shared" si="15"/>
        <v>2045</v>
      </c>
      <c r="AQ28" s="78">
        <f t="shared" si="13"/>
        <v>2.067094656803103</v>
      </c>
      <c r="AR28" s="170">
        <f t="shared" si="17"/>
        <v>1.03</v>
      </c>
      <c r="AS28" s="167">
        <f t="shared" si="2"/>
        <v>932259.69021819951</v>
      </c>
      <c r="AT28" s="65">
        <f t="shared" si="16"/>
        <v>2045</v>
      </c>
      <c r="AU28" s="78">
        <f t="shared" si="14"/>
        <v>2.0466283730723793</v>
      </c>
      <c r="AV28" s="173">
        <f t="shared" si="18"/>
        <v>1.03</v>
      </c>
      <c r="BC28" s="28">
        <v>2041</v>
      </c>
      <c r="BD28" s="142">
        <f t="shared" si="21"/>
        <v>2057000</v>
      </c>
    </row>
    <row r="29" spans="1:56" ht="15.75" thickBot="1" x14ac:dyDescent="0.3">
      <c r="A29" s="28"/>
      <c r="B29" s="1" t="s">
        <v>14</v>
      </c>
      <c r="C29" s="1">
        <v>36</v>
      </c>
      <c r="D29" s="1">
        <v>0</v>
      </c>
      <c r="E29" s="42">
        <f t="shared" si="19"/>
        <v>192627.42265458463</v>
      </c>
      <c r="F29" s="36" t="str">
        <f t="shared" si="20"/>
        <v>Tekn./Adm. 7</v>
      </c>
      <c r="H29" s="57">
        <v>26</v>
      </c>
      <c r="I29" s="288">
        <v>328840.56</v>
      </c>
      <c r="J29" s="3"/>
      <c r="K29" s="4">
        <f t="shared" si="26"/>
        <v>328440.56</v>
      </c>
      <c r="L29" s="2">
        <f t="shared" si="3"/>
        <v>429596.97227353841</v>
      </c>
      <c r="M29" s="2">
        <f t="shared" si="5"/>
        <v>101156.41227353842</v>
      </c>
      <c r="N29" s="18">
        <f t="shared" si="4"/>
        <v>0.3079900127850787</v>
      </c>
      <c r="O29" s="135"/>
      <c r="P29" s="6"/>
      <c r="Q29" s="136"/>
      <c r="R29" s="137"/>
      <c r="S29" s="110"/>
      <c r="T29" s="110"/>
      <c r="U29" s="110"/>
      <c r="V29" s="110"/>
      <c r="W29" s="110"/>
      <c r="X29" s="110"/>
      <c r="Y29" s="110"/>
      <c r="Z29" s="110"/>
      <c r="AB29" s="28">
        <v>42</v>
      </c>
      <c r="AC29" s="177" t="s">
        <v>117</v>
      </c>
      <c r="AD29" s="14">
        <f t="shared" si="11"/>
        <v>0.4</v>
      </c>
      <c r="AE29" s="177" t="s">
        <v>116</v>
      </c>
      <c r="AF29" s="115">
        <f t="shared" si="12"/>
        <v>0.4</v>
      </c>
      <c r="AP29" s="65">
        <f t="shared" si="15"/>
        <v>2046</v>
      </c>
      <c r="AQ29" s="78">
        <f t="shared" si="13"/>
        <v>2.1291074965071961</v>
      </c>
      <c r="AR29" s="170">
        <f t="shared" si="17"/>
        <v>1.03</v>
      </c>
      <c r="AS29" s="167">
        <f t="shared" si="2"/>
        <v>960227.48092474544</v>
      </c>
      <c r="AT29" s="65">
        <f t="shared" si="16"/>
        <v>2046</v>
      </c>
      <c r="AU29" s="78">
        <f t="shared" si="14"/>
        <v>2.1080272242645508</v>
      </c>
      <c r="AV29" s="173">
        <f t="shared" si="18"/>
        <v>1.03</v>
      </c>
      <c r="BC29" s="28">
        <v>2042</v>
      </c>
      <c r="BD29" s="142">
        <f t="shared" si="21"/>
        <v>2117000</v>
      </c>
    </row>
    <row r="30" spans="1:56" ht="15.75" thickBot="1" x14ac:dyDescent="0.3">
      <c r="A30" s="28"/>
      <c r="B30" s="1" t="s">
        <v>25</v>
      </c>
      <c r="C30" s="1">
        <v>37</v>
      </c>
      <c r="D30" s="1">
        <v>0</v>
      </c>
      <c r="E30" s="42">
        <f t="shared" si="19"/>
        <v>195088.54554129232</v>
      </c>
      <c r="F30" s="36" t="str">
        <f t="shared" si="20"/>
        <v>Tekn./Adm. 7</v>
      </c>
      <c r="H30" s="57">
        <v>27</v>
      </c>
      <c r="I30" s="288">
        <v>332757.71999999997</v>
      </c>
      <c r="J30" s="3"/>
      <c r="K30" s="4">
        <f t="shared" si="26"/>
        <v>332357.71999999997</v>
      </c>
      <c r="L30" s="2">
        <f t="shared" si="3"/>
        <v>434702.49315553851</v>
      </c>
      <c r="M30" s="2">
        <f t="shared" si="5"/>
        <v>102344.77315553854</v>
      </c>
      <c r="N30" s="18">
        <f t="shared" si="4"/>
        <v>0.30793559769136264</v>
      </c>
      <c r="O30" s="135"/>
      <c r="P30" s="6"/>
      <c r="Q30" s="136"/>
      <c r="R30" s="137"/>
      <c r="S30" s="355" t="s">
        <v>294</v>
      </c>
      <c r="T30" s="356"/>
      <c r="U30" s="356"/>
      <c r="V30" s="356"/>
      <c r="W30" s="356">
        <v>2021</v>
      </c>
      <c r="X30" s="49"/>
      <c r="Y30" s="357"/>
      <c r="Z30" s="110"/>
      <c r="AB30" s="28">
        <v>43</v>
      </c>
      <c r="AC30" s="177" t="s">
        <v>117</v>
      </c>
      <c r="AD30" s="14">
        <f t="shared" si="11"/>
        <v>0.4</v>
      </c>
      <c r="AE30" s="177" t="s">
        <v>116</v>
      </c>
      <c r="AF30" s="115">
        <f t="shared" si="12"/>
        <v>0.4</v>
      </c>
      <c r="AP30" s="65">
        <f>AP29+1</f>
        <v>2047</v>
      </c>
      <c r="AQ30" s="78">
        <f>AQ29*AR30</f>
        <v>2.192980721402412</v>
      </c>
      <c r="AR30" s="170">
        <f>AR29</f>
        <v>1.03</v>
      </c>
      <c r="AS30" s="167">
        <f t="shared" si="2"/>
        <v>989034.30535248783</v>
      </c>
      <c r="AT30" s="65">
        <f>AT29+1</f>
        <v>2047</v>
      </c>
      <c r="AU30" s="78">
        <f>AU29*AV30</f>
        <v>2.1712680409924876</v>
      </c>
      <c r="AV30" s="173">
        <f>AV29</f>
        <v>1.03</v>
      </c>
      <c r="BC30" s="28">
        <v>2043</v>
      </c>
      <c r="BD30" s="142">
        <f t="shared" si="21"/>
        <v>2178000</v>
      </c>
    </row>
    <row r="31" spans="1:56" ht="15.75" thickBot="1" x14ac:dyDescent="0.3">
      <c r="A31" s="28"/>
      <c r="B31" s="1" t="s">
        <v>15</v>
      </c>
      <c r="C31" s="1">
        <v>38</v>
      </c>
      <c r="D31" s="1">
        <v>0</v>
      </c>
      <c r="E31" s="42">
        <f t="shared" si="19"/>
        <v>197549.66842800003</v>
      </c>
      <c r="F31" s="36" t="str">
        <f t="shared" si="20"/>
        <v>Tekn./Adm. 7</v>
      </c>
      <c r="H31" s="57">
        <v>28</v>
      </c>
      <c r="I31" s="288">
        <v>336775.32</v>
      </c>
      <c r="J31" s="3"/>
      <c r="K31" s="4">
        <f t="shared" si="26"/>
        <v>336375.32</v>
      </c>
      <c r="L31" s="2">
        <f t="shared" si="3"/>
        <v>439938.92482938472</v>
      </c>
      <c r="M31" s="2">
        <f t="shared" si="5"/>
        <v>103563.60482938471</v>
      </c>
      <c r="N31" s="18">
        <f t="shared" si="4"/>
        <v>0.30788110384966622</v>
      </c>
      <c r="O31" s="135"/>
      <c r="P31" s="6"/>
      <c r="Q31" s="136"/>
      <c r="R31" s="178"/>
      <c r="S31" s="358" t="s">
        <v>293</v>
      </c>
      <c r="T31" s="359"/>
      <c r="U31" s="359"/>
      <c r="V31" s="360"/>
      <c r="W31" s="361">
        <v>585</v>
      </c>
      <c r="X31" s="110"/>
      <c r="Y31" s="110"/>
      <c r="Z31" s="110"/>
      <c r="AB31" s="28">
        <v>44</v>
      </c>
      <c r="AC31" s="177" t="s">
        <v>117</v>
      </c>
      <c r="AD31" s="14">
        <f t="shared" si="11"/>
        <v>0.4</v>
      </c>
      <c r="AE31" s="177" t="s">
        <v>116</v>
      </c>
      <c r="AF31" s="115">
        <f t="shared" si="12"/>
        <v>0.4</v>
      </c>
      <c r="AP31" s="65">
        <f>AP30+1</f>
        <v>2048</v>
      </c>
      <c r="AQ31" s="78">
        <f>AQ30*AR31</f>
        <v>2.2587701430444844</v>
      </c>
      <c r="AR31" s="170">
        <f>AR30</f>
        <v>1.03</v>
      </c>
      <c r="AS31" s="167">
        <f t="shared" si="2"/>
        <v>1018705.3345130625</v>
      </c>
      <c r="AT31" s="65">
        <f>AT30+1</f>
        <v>2048</v>
      </c>
      <c r="AU31" s="78">
        <f>AU30*AV31</f>
        <v>2.2364060822222624</v>
      </c>
      <c r="AV31" s="173">
        <f>AV30</f>
        <v>1.03</v>
      </c>
      <c r="BC31" s="28">
        <v>2044</v>
      </c>
      <c r="BD31" s="142">
        <f t="shared" si="21"/>
        <v>2241000</v>
      </c>
    </row>
    <row r="32" spans="1:56" ht="15.75" thickBot="1" x14ac:dyDescent="0.3">
      <c r="A32" s="28"/>
      <c r="B32" s="1" t="s">
        <v>8</v>
      </c>
      <c r="C32" s="1">
        <v>39</v>
      </c>
      <c r="D32" s="1">
        <v>0</v>
      </c>
      <c r="E32" s="42">
        <f t="shared" si="19"/>
        <v>200010.79131470775</v>
      </c>
      <c r="F32" s="36" t="str">
        <f t="shared" si="20"/>
        <v>Tekn./Adm. 7</v>
      </c>
      <c r="H32" s="57">
        <v>29</v>
      </c>
      <c r="I32" s="288">
        <v>340491.6</v>
      </c>
      <c r="J32" s="3"/>
      <c r="K32" s="4">
        <f t="shared" si="26"/>
        <v>340091.6</v>
      </c>
      <c r="L32" s="2">
        <f t="shared" si="3"/>
        <v>444782.62412769231</v>
      </c>
      <c r="M32" s="2">
        <f t="shared" si="5"/>
        <v>104691.02412769233</v>
      </c>
      <c r="N32" s="18">
        <f t="shared" si="4"/>
        <v>0.30783184332601082</v>
      </c>
      <c r="O32" s="135"/>
      <c r="P32" s="6"/>
      <c r="Q32" s="136"/>
      <c r="R32" s="137"/>
      <c r="S32" s="358" t="s">
        <v>372</v>
      </c>
      <c r="T32" s="359"/>
      <c r="U32" s="359"/>
      <c r="V32" s="360"/>
      <c r="W32" s="361">
        <v>5</v>
      </c>
      <c r="X32" s="110"/>
      <c r="Y32" s="110"/>
      <c r="Z32" s="110"/>
      <c r="AB32" s="28">
        <v>45</v>
      </c>
      <c r="AC32" s="177" t="s">
        <v>117</v>
      </c>
      <c r="AD32" s="14">
        <f t="shared" si="11"/>
        <v>0.4</v>
      </c>
      <c r="AE32" s="177" t="s">
        <v>116</v>
      </c>
      <c r="AF32" s="115">
        <f t="shared" si="12"/>
        <v>0.4</v>
      </c>
      <c r="AP32" s="65">
        <f t="shared" si="15"/>
        <v>2049</v>
      </c>
      <c r="AQ32" s="78">
        <f t="shared" si="13"/>
        <v>2.3265332473358189</v>
      </c>
      <c r="AR32" s="170">
        <f t="shared" si="17"/>
        <v>1.03</v>
      </c>
      <c r="AS32" s="167">
        <f t="shared" si="2"/>
        <v>1049266.4945484544</v>
      </c>
      <c r="AT32" s="65">
        <f t="shared" si="16"/>
        <v>2049</v>
      </c>
      <c r="AU32" s="78">
        <f t="shared" si="14"/>
        <v>2.3034982646889306</v>
      </c>
      <c r="AV32" s="173">
        <f t="shared" si="18"/>
        <v>1.03</v>
      </c>
      <c r="BC32" s="37">
        <v>2045</v>
      </c>
      <c r="BD32" s="153">
        <f t="shared" si="21"/>
        <v>2306000</v>
      </c>
    </row>
    <row r="33" spans="1:48" ht="15.75" thickBot="1" x14ac:dyDescent="0.3">
      <c r="A33" s="28"/>
      <c r="B33" s="1" t="s">
        <v>55</v>
      </c>
      <c r="C33" s="1">
        <v>40</v>
      </c>
      <c r="D33" s="1">
        <v>0</v>
      </c>
      <c r="E33" s="42">
        <f t="shared" si="19"/>
        <v>202629.00715163082</v>
      </c>
      <c r="F33" s="36" t="str">
        <f t="shared" si="20"/>
        <v>Tekn./Adm. 7</v>
      </c>
      <c r="H33" s="57">
        <v>30</v>
      </c>
      <c r="I33" s="288">
        <v>344509.2</v>
      </c>
      <c r="J33" s="3"/>
      <c r="K33" s="4">
        <f t="shared" si="26"/>
        <v>344109.2</v>
      </c>
      <c r="L33" s="2">
        <f t="shared" si="3"/>
        <v>450019.05580153858</v>
      </c>
      <c r="M33" s="2">
        <f t="shared" si="5"/>
        <v>105909.85580153856</v>
      </c>
      <c r="N33" s="18">
        <f t="shared" si="4"/>
        <v>0.30777978560741348</v>
      </c>
      <c r="O33" s="135"/>
      <c r="P33" s="6"/>
      <c r="Q33" s="136"/>
      <c r="R33" s="137"/>
      <c r="S33" s="358" t="s">
        <v>373</v>
      </c>
      <c r="T33" s="359"/>
      <c r="U33" s="359"/>
      <c r="V33" s="360"/>
      <c r="W33" s="361">
        <f>IK_SP/5</f>
        <v>117</v>
      </c>
      <c r="X33" s="110"/>
      <c r="Y33" s="110"/>
      <c r="Z33" s="110"/>
      <c r="AB33" s="28">
        <v>46</v>
      </c>
      <c r="AC33" s="177" t="s">
        <v>117</v>
      </c>
      <c r="AD33" s="14">
        <f t="shared" si="11"/>
        <v>0.4</v>
      </c>
      <c r="AE33" s="177" t="s">
        <v>116</v>
      </c>
      <c r="AF33" s="115">
        <f t="shared" si="12"/>
        <v>0.4</v>
      </c>
      <c r="AP33" s="70">
        <f t="shared" si="15"/>
        <v>2050</v>
      </c>
      <c r="AQ33" s="79">
        <f t="shared" si="13"/>
        <v>2.3963292447558935</v>
      </c>
      <c r="AR33" s="171">
        <f t="shared" si="17"/>
        <v>1.03</v>
      </c>
      <c r="AS33" s="167">
        <f t="shared" si="2"/>
        <v>1080744.489384908</v>
      </c>
      <c r="AT33" s="70">
        <f t="shared" si="16"/>
        <v>2050</v>
      </c>
      <c r="AU33" s="79">
        <f t="shared" si="14"/>
        <v>2.3726032126295986</v>
      </c>
      <c r="AV33" s="174">
        <f t="shared" si="18"/>
        <v>1.03</v>
      </c>
    </row>
    <row r="34" spans="1:48" ht="15.75" thickBot="1" x14ac:dyDescent="0.3">
      <c r="A34" s="28"/>
      <c r="B34" s="1" t="s">
        <v>46</v>
      </c>
      <c r="C34" s="1">
        <v>42</v>
      </c>
      <c r="D34" s="1">
        <v>0</v>
      </c>
      <c r="E34" s="42">
        <f t="shared" si="19"/>
        <v>208336.71767612314</v>
      </c>
      <c r="F34" s="36" t="str">
        <f t="shared" si="20"/>
        <v>Tekn./Adm. 7</v>
      </c>
      <c r="H34" s="57">
        <v>31</v>
      </c>
      <c r="I34" s="288">
        <v>348125.04</v>
      </c>
      <c r="J34" s="3"/>
      <c r="K34" s="4">
        <f t="shared" si="26"/>
        <v>347725.04</v>
      </c>
      <c r="L34" s="2">
        <f t="shared" si="3"/>
        <v>454731.84430800006</v>
      </c>
      <c r="M34" s="2">
        <f t="shared" si="5"/>
        <v>107006.80430800008</v>
      </c>
      <c r="N34" s="18">
        <f t="shared" si="4"/>
        <v>0.30773396217885285</v>
      </c>
      <c r="O34" s="135"/>
      <c r="P34" s="6"/>
      <c r="Q34" s="136"/>
      <c r="R34" s="137"/>
      <c r="S34" s="358"/>
      <c r="T34" s="359"/>
      <c r="U34" s="359"/>
      <c r="V34" s="360"/>
      <c r="W34" s="361"/>
      <c r="X34" s="110"/>
      <c r="Y34" s="110"/>
      <c r="Z34" s="110"/>
      <c r="AB34" s="28">
        <v>47</v>
      </c>
      <c r="AC34" s="177" t="s">
        <v>117</v>
      </c>
      <c r="AD34" s="14">
        <f t="shared" si="11"/>
        <v>0.4</v>
      </c>
      <c r="AE34" s="177" t="s">
        <v>116</v>
      </c>
      <c r="AF34" s="115">
        <f t="shared" si="12"/>
        <v>0.4</v>
      </c>
    </row>
    <row r="35" spans="1:48" ht="15.75" thickBot="1" x14ac:dyDescent="0.3">
      <c r="A35" s="28"/>
      <c r="B35" s="1" t="s">
        <v>58</v>
      </c>
      <c r="C35" s="1">
        <v>42</v>
      </c>
      <c r="D35" s="1">
        <v>0</v>
      </c>
      <c r="E35" s="42">
        <f t="shared" si="19"/>
        <v>208336.71767612314</v>
      </c>
      <c r="F35" s="36" t="str">
        <f t="shared" si="20"/>
        <v>Tekn./Adm. 7</v>
      </c>
      <c r="H35" s="57">
        <v>32</v>
      </c>
      <c r="I35" s="288">
        <v>352243.08</v>
      </c>
      <c r="J35" s="3"/>
      <c r="K35" s="4">
        <f t="shared" si="26"/>
        <v>351843.08</v>
      </c>
      <c r="L35" s="2">
        <f t="shared" si="3"/>
        <v>460099.18677369237</v>
      </c>
      <c r="M35" s="2">
        <f t="shared" si="5"/>
        <v>108256.10677369236</v>
      </c>
      <c r="N35" s="18">
        <f t="shared" si="4"/>
        <v>0.30768292152766613</v>
      </c>
      <c r="O35" s="135"/>
      <c r="P35" s="6"/>
      <c r="Q35" s="136"/>
      <c r="R35" s="137"/>
      <c r="S35" s="292"/>
      <c r="T35" s="293"/>
      <c r="U35" s="293"/>
      <c r="V35" s="294"/>
      <c r="W35" s="295"/>
      <c r="X35" s="290"/>
      <c r="Y35" s="290"/>
      <c r="Z35" s="290"/>
      <c r="AB35" s="28">
        <v>48</v>
      </c>
      <c r="AC35" s="177" t="s">
        <v>117</v>
      </c>
      <c r="AD35" s="14">
        <f t="shared" si="11"/>
        <v>0.4</v>
      </c>
      <c r="AE35" s="177" t="s">
        <v>116</v>
      </c>
      <c r="AF35" s="115">
        <f t="shared" si="12"/>
        <v>0.4</v>
      </c>
    </row>
    <row r="36" spans="1:48" ht="15.75" thickBot="1" x14ac:dyDescent="0.3">
      <c r="A36" s="28"/>
      <c r="B36" s="1" t="s">
        <v>12</v>
      </c>
      <c r="C36" s="1">
        <v>46</v>
      </c>
      <c r="D36" s="1">
        <v>0</v>
      </c>
      <c r="E36" s="42">
        <f t="shared" si="19"/>
        <v>220694.69642640004</v>
      </c>
      <c r="F36" s="36" t="str">
        <f t="shared" si="20"/>
        <v>Tekn./Adm. 7</v>
      </c>
      <c r="H36" s="57">
        <v>33</v>
      </c>
      <c r="I36" s="288">
        <v>356059.8</v>
      </c>
      <c r="J36" s="3"/>
      <c r="K36" s="4">
        <f t="shared" si="26"/>
        <v>355659.8</v>
      </c>
      <c r="L36" s="2">
        <f t="shared" si="3"/>
        <v>465073.79686384613</v>
      </c>
      <c r="M36" s="2">
        <f t="shared" si="5"/>
        <v>109413.99686384614</v>
      </c>
      <c r="N36" s="18">
        <f t="shared" si="4"/>
        <v>0.30763667095310221</v>
      </c>
      <c r="O36" s="135"/>
      <c r="P36" s="6"/>
      <c r="Q36" s="136"/>
      <c r="R36" s="137"/>
      <c r="S36" s="292" t="s">
        <v>374</v>
      </c>
      <c r="T36" s="293"/>
      <c r="U36" s="293"/>
      <c r="V36" s="294"/>
      <c r="W36" s="295">
        <v>7552</v>
      </c>
      <c r="X36" s="344" t="s">
        <v>375</v>
      </c>
      <c r="Y36" s="344"/>
      <c r="Z36" s="344"/>
      <c r="AB36" s="28">
        <v>49</v>
      </c>
      <c r="AC36" s="177" t="s">
        <v>117</v>
      </c>
      <c r="AD36" s="14">
        <f t="shared" si="11"/>
        <v>0.4</v>
      </c>
      <c r="AE36" s="177" t="s">
        <v>116</v>
      </c>
      <c r="AF36" s="115">
        <f t="shared" si="12"/>
        <v>0.4</v>
      </c>
    </row>
    <row r="37" spans="1:48" x14ac:dyDescent="0.25">
      <c r="A37" s="28"/>
      <c r="B37" s="1" t="s">
        <v>33</v>
      </c>
      <c r="C37" s="1">
        <v>46</v>
      </c>
      <c r="D37" s="1">
        <v>0</v>
      </c>
      <c r="E37" s="42">
        <f t="shared" si="19"/>
        <v>220694.69642640004</v>
      </c>
      <c r="F37" s="36" t="str">
        <f t="shared" si="20"/>
        <v>Tekn./Adm. 7</v>
      </c>
      <c r="H37" s="57">
        <v>34</v>
      </c>
      <c r="I37" s="288">
        <v>360278.28</v>
      </c>
      <c r="J37" s="3"/>
      <c r="K37" s="4">
        <f t="shared" si="26"/>
        <v>359878.28</v>
      </c>
      <c r="L37" s="2">
        <f t="shared" si="3"/>
        <v>470572.05012138473</v>
      </c>
      <c r="M37" s="2">
        <f t="shared" si="5"/>
        <v>110693.7701213847</v>
      </c>
      <c r="N37" s="18">
        <f t="shared" si="4"/>
        <v>0.30758669326024535</v>
      </c>
      <c r="O37" s="135"/>
      <c r="P37" s="6"/>
      <c r="Q37" s="136"/>
      <c r="R37" s="137"/>
      <c r="S37" s="296"/>
      <c r="T37" s="290"/>
      <c r="U37" s="290"/>
      <c r="V37" s="290"/>
      <c r="W37" s="290"/>
      <c r="X37" s="344"/>
      <c r="Y37" s="344"/>
      <c r="Z37" s="344"/>
      <c r="AB37" s="28">
        <v>50</v>
      </c>
      <c r="AC37" s="177" t="s">
        <v>117</v>
      </c>
      <c r="AD37" s="14">
        <f t="shared" si="11"/>
        <v>0.4</v>
      </c>
      <c r="AE37" s="177" t="s">
        <v>116</v>
      </c>
      <c r="AF37" s="115">
        <f t="shared" si="12"/>
        <v>0.4</v>
      </c>
    </row>
    <row r="38" spans="1:48" x14ac:dyDescent="0.25">
      <c r="A38" s="28"/>
      <c r="B38" s="1" t="s">
        <v>23</v>
      </c>
      <c r="C38" s="1">
        <v>51</v>
      </c>
      <c r="D38" s="1">
        <v>0</v>
      </c>
      <c r="E38" s="42">
        <f t="shared" si="19"/>
        <v>239626.70129095388</v>
      </c>
      <c r="F38" s="36" t="str">
        <f t="shared" si="20"/>
        <v>Tekn./Adm. 6</v>
      </c>
      <c r="H38" s="57">
        <v>35</v>
      </c>
      <c r="I38" s="288">
        <v>364396.32</v>
      </c>
      <c r="J38" s="3"/>
      <c r="K38" s="4">
        <f t="shared" si="26"/>
        <v>363996.32</v>
      </c>
      <c r="L38" s="2">
        <f t="shared" si="3"/>
        <v>475939.39258707693</v>
      </c>
      <c r="M38" s="2">
        <f t="shared" si="5"/>
        <v>111943.07258707692</v>
      </c>
      <c r="N38" s="18">
        <f t="shared" si="4"/>
        <v>0.30753902288648666</v>
      </c>
      <c r="O38" s="135"/>
      <c r="P38" s="6"/>
      <c r="Q38" s="136"/>
      <c r="R38" s="137"/>
      <c r="S38" s="296" t="s">
        <v>369</v>
      </c>
      <c r="T38" s="290"/>
      <c r="U38" s="290"/>
      <c r="V38" s="290"/>
      <c r="W38" s="291">
        <v>2636</v>
      </c>
      <c r="X38" s="290" t="s">
        <v>371</v>
      </c>
      <c r="Y38" s="290"/>
      <c r="Z38" s="290"/>
      <c r="AB38" s="28">
        <v>51</v>
      </c>
      <c r="AC38" s="177" t="s">
        <v>119</v>
      </c>
      <c r="AD38" s="14">
        <f t="shared" si="11"/>
        <v>0.4</v>
      </c>
      <c r="AE38" s="177" t="s">
        <v>118</v>
      </c>
      <c r="AF38" s="115">
        <f t="shared" si="12"/>
        <v>0.4</v>
      </c>
    </row>
    <row r="39" spans="1:48" x14ac:dyDescent="0.25">
      <c r="A39" s="28"/>
      <c r="B39" s="1" t="s">
        <v>56</v>
      </c>
      <c r="C39" s="1">
        <v>53</v>
      </c>
      <c r="D39" s="1">
        <v>0</v>
      </c>
      <c r="E39" s="42">
        <f t="shared" si="19"/>
        <v>247803.66775015389</v>
      </c>
      <c r="F39" s="36" t="str">
        <f t="shared" si="20"/>
        <v>Tekn./Adm. 6</v>
      </c>
      <c r="H39" s="57">
        <v>36</v>
      </c>
      <c r="I39" s="288">
        <v>368715.24</v>
      </c>
      <c r="J39" s="3"/>
      <c r="K39" s="4">
        <f t="shared" si="26"/>
        <v>368315.24</v>
      </c>
      <c r="L39" s="2">
        <f t="shared" si="3"/>
        <v>481568.55663646158</v>
      </c>
      <c r="M39" s="2">
        <f t="shared" si="5"/>
        <v>113253.31663646159</v>
      </c>
      <c r="N39" s="18">
        <f t="shared" si="4"/>
        <v>0.30749017237641751</v>
      </c>
      <c r="O39" s="135"/>
      <c r="P39" s="6"/>
      <c r="Q39" s="136"/>
      <c r="R39" s="137"/>
      <c r="S39" s="296" t="s">
        <v>370</v>
      </c>
      <c r="T39" s="290"/>
      <c r="U39" s="290"/>
      <c r="V39" s="290"/>
      <c r="W39" s="290">
        <f>W38/(5*8*40)</f>
        <v>1.6475</v>
      </c>
      <c r="X39" s="290"/>
      <c r="Y39" s="290"/>
      <c r="Z39" s="290"/>
      <c r="AB39" s="28">
        <v>52</v>
      </c>
      <c r="AC39" s="177" t="s">
        <v>119</v>
      </c>
      <c r="AD39" s="14">
        <f t="shared" si="11"/>
        <v>0.4</v>
      </c>
      <c r="AE39" s="177" t="s">
        <v>118</v>
      </c>
      <c r="AF39" s="115">
        <f t="shared" si="12"/>
        <v>0.4</v>
      </c>
    </row>
    <row r="40" spans="1:48" x14ac:dyDescent="0.25">
      <c r="A40" s="28"/>
      <c r="B40" s="1" t="s">
        <v>52</v>
      </c>
      <c r="C40" s="1">
        <v>56</v>
      </c>
      <c r="D40" s="1">
        <v>0</v>
      </c>
      <c r="E40" s="42">
        <f t="shared" si="19"/>
        <v>260436.03260058467</v>
      </c>
      <c r="F40" s="36" t="str">
        <f t="shared" si="20"/>
        <v>Tekn./Adm. 6</v>
      </c>
      <c r="H40" s="57">
        <v>37</v>
      </c>
      <c r="I40" s="288">
        <v>373435.92</v>
      </c>
      <c r="J40" s="3"/>
      <c r="K40" s="4">
        <f t="shared" si="26"/>
        <v>373035.92</v>
      </c>
      <c r="L40" s="2">
        <f t="shared" si="3"/>
        <v>487721.36385323078</v>
      </c>
      <c r="M40" s="2">
        <f t="shared" si="5"/>
        <v>114685.4438532308</v>
      </c>
      <c r="N40" s="18">
        <f t="shared" si="4"/>
        <v>0.30743807152198854</v>
      </c>
      <c r="O40" s="135"/>
      <c r="P40" s="6"/>
      <c r="Q40" s="136"/>
      <c r="R40" s="137"/>
      <c r="S40" s="296"/>
      <c r="T40" s="290"/>
      <c r="U40" s="290"/>
      <c r="V40" s="290"/>
      <c r="W40" s="290"/>
      <c r="X40" s="290"/>
      <c r="Y40" s="290"/>
      <c r="Z40" s="290"/>
      <c r="AB40" s="28">
        <v>53</v>
      </c>
      <c r="AC40" s="177" t="s">
        <v>119</v>
      </c>
      <c r="AD40" s="14">
        <f t="shared" si="11"/>
        <v>0.4</v>
      </c>
      <c r="AE40" s="177" t="s">
        <v>118</v>
      </c>
      <c r="AF40" s="115">
        <f t="shared" si="12"/>
        <v>0.4</v>
      </c>
    </row>
    <row r="41" spans="1:48" x14ac:dyDescent="0.25">
      <c r="A41" s="28"/>
      <c r="B41" s="1" t="s">
        <v>27</v>
      </c>
      <c r="C41" s="1">
        <v>57</v>
      </c>
      <c r="D41" s="1">
        <v>0</v>
      </c>
      <c r="E41" s="42">
        <f t="shared" si="19"/>
        <v>264943.84744347696</v>
      </c>
      <c r="F41" s="36" t="str">
        <f t="shared" si="20"/>
        <v>Tekn./Adm. 6</v>
      </c>
      <c r="H41" s="57">
        <v>38</v>
      </c>
      <c r="I41" s="288">
        <v>378156.6</v>
      </c>
      <c r="J41" s="3"/>
      <c r="K41" s="4">
        <f t="shared" si="26"/>
        <v>377756.6</v>
      </c>
      <c r="L41" s="2">
        <f t="shared" si="3"/>
        <v>493874.17107000004</v>
      </c>
      <c r="M41" s="2">
        <f t="shared" si="5"/>
        <v>116117.57107000006</v>
      </c>
      <c r="N41" s="18">
        <f t="shared" si="4"/>
        <v>0.30738727283653039</v>
      </c>
      <c r="O41" s="135"/>
      <c r="P41" s="6"/>
      <c r="Q41" s="136"/>
      <c r="R41" s="137"/>
      <c r="S41" s="296"/>
      <c r="T41" s="290"/>
      <c r="U41" s="290"/>
      <c r="V41" s="290"/>
      <c r="W41" s="290"/>
      <c r="X41" s="290"/>
      <c r="Y41" s="290"/>
      <c r="Z41" s="290"/>
      <c r="AB41" s="28">
        <v>54</v>
      </c>
      <c r="AC41" s="177" t="s">
        <v>119</v>
      </c>
      <c r="AD41" s="14">
        <f t="shared" si="11"/>
        <v>0.4</v>
      </c>
      <c r="AE41" s="177" t="s">
        <v>118</v>
      </c>
      <c r="AF41" s="115">
        <f t="shared" si="12"/>
        <v>0.4</v>
      </c>
    </row>
    <row r="42" spans="1:48" x14ac:dyDescent="0.25">
      <c r="A42" s="28"/>
      <c r="B42" s="1" t="s">
        <v>38</v>
      </c>
      <c r="C42" s="1">
        <v>58</v>
      </c>
      <c r="D42" s="1">
        <v>0</v>
      </c>
      <c r="E42" s="42">
        <f t="shared" si="19"/>
        <v>269608.91164135392</v>
      </c>
      <c r="F42" s="36" t="str">
        <f t="shared" si="20"/>
        <v>Tekn./Adm. 6</v>
      </c>
      <c r="H42" s="57">
        <v>39</v>
      </c>
      <c r="I42" s="288">
        <v>382877.28</v>
      </c>
      <c r="J42" s="3"/>
      <c r="K42" s="4">
        <f t="shared" si="26"/>
        <v>382477.28</v>
      </c>
      <c r="L42" s="2">
        <f t="shared" si="3"/>
        <v>500026.97828676936</v>
      </c>
      <c r="M42" s="2">
        <f t="shared" si="5"/>
        <v>117549.69828676933</v>
      </c>
      <c r="N42" s="18">
        <f t="shared" si="4"/>
        <v>0.30733772810444931</v>
      </c>
      <c r="O42" s="135"/>
      <c r="P42" s="6"/>
      <c r="Q42" s="136"/>
      <c r="R42" s="137"/>
      <c r="S42" s="1"/>
      <c r="AB42" s="28">
        <v>55</v>
      </c>
      <c r="AC42" s="177" t="s">
        <v>119</v>
      </c>
      <c r="AD42" s="14">
        <f t="shared" si="11"/>
        <v>0.4</v>
      </c>
      <c r="AE42" s="177" t="s">
        <v>118</v>
      </c>
      <c r="AF42" s="115">
        <f t="shared" si="12"/>
        <v>0.4</v>
      </c>
    </row>
    <row r="43" spans="1:48" x14ac:dyDescent="0.25">
      <c r="A43" s="28"/>
      <c r="B43" s="1" t="s">
        <v>3</v>
      </c>
      <c r="C43" s="1">
        <v>61</v>
      </c>
      <c r="D43" s="1">
        <v>0</v>
      </c>
      <c r="E43" s="42">
        <f t="shared" si="19"/>
        <v>284704.84971987695</v>
      </c>
      <c r="F43" s="36" t="str">
        <f t="shared" si="20"/>
        <v>Tekn./Adm. 5</v>
      </c>
      <c r="H43" s="57">
        <v>40</v>
      </c>
      <c r="I43" s="288">
        <v>387899.28</v>
      </c>
      <c r="J43" s="3"/>
      <c r="K43" s="4">
        <f t="shared" si="26"/>
        <v>387499.28</v>
      </c>
      <c r="L43" s="2">
        <f t="shared" si="3"/>
        <v>506572.517879077</v>
      </c>
      <c r="M43" s="2">
        <f t="shared" si="5"/>
        <v>119073.23787907697</v>
      </c>
      <c r="N43" s="18">
        <f t="shared" si="4"/>
        <v>0.30728634612966754</v>
      </c>
      <c r="O43" s="135"/>
      <c r="P43" s="6"/>
      <c r="Q43" s="136"/>
      <c r="R43" s="137"/>
      <c r="S43" s="1"/>
      <c r="AB43" s="28">
        <v>56</v>
      </c>
      <c r="AC43" s="177" t="s">
        <v>119</v>
      </c>
      <c r="AD43" s="14">
        <f t="shared" si="11"/>
        <v>0.4</v>
      </c>
      <c r="AE43" s="177" t="s">
        <v>118</v>
      </c>
      <c r="AF43" s="115">
        <f t="shared" si="12"/>
        <v>0.4</v>
      </c>
    </row>
    <row r="44" spans="1:48" x14ac:dyDescent="0.25">
      <c r="A44" s="28"/>
      <c r="B44" s="1" t="s">
        <v>47</v>
      </c>
      <c r="C44" s="1">
        <v>61</v>
      </c>
      <c r="D44" s="1">
        <v>0</v>
      </c>
      <c r="E44" s="42">
        <f t="shared" si="19"/>
        <v>284704.84971987695</v>
      </c>
      <c r="F44" s="36" t="str">
        <f t="shared" si="20"/>
        <v>Tekn./Adm. 5</v>
      </c>
      <c r="H44" s="57">
        <v>41</v>
      </c>
      <c r="I44" s="288">
        <v>393021.72</v>
      </c>
      <c r="J44" s="3"/>
      <c r="K44" s="4">
        <f t="shared" si="26"/>
        <v>392621.72</v>
      </c>
      <c r="L44" s="2">
        <f t="shared" si="3"/>
        <v>513248.96826323087</v>
      </c>
      <c r="M44" s="2">
        <f t="shared" si="5"/>
        <v>120627.2482632309</v>
      </c>
      <c r="N44" s="18">
        <f t="shared" si="4"/>
        <v>0.30723529065898569</v>
      </c>
      <c r="O44" s="135"/>
      <c r="P44" s="6"/>
      <c r="Q44" s="136"/>
      <c r="R44" s="137"/>
      <c r="S44" s="1"/>
      <c r="AB44" s="28">
        <v>57</v>
      </c>
      <c r="AC44" s="177" t="s">
        <v>119</v>
      </c>
      <c r="AD44" s="14">
        <f t="shared" si="11"/>
        <v>0.4</v>
      </c>
      <c r="AE44" s="177" t="s">
        <v>118</v>
      </c>
      <c r="AF44" s="115">
        <f t="shared" si="12"/>
        <v>0.4</v>
      </c>
    </row>
    <row r="45" spans="1:48" x14ac:dyDescent="0.25">
      <c r="A45" s="28"/>
      <c r="B45" s="1" t="s">
        <v>63</v>
      </c>
      <c r="C45" s="1">
        <v>61</v>
      </c>
      <c r="D45" s="1">
        <v>1</v>
      </c>
      <c r="E45" s="42">
        <f t="shared" si="19"/>
        <v>284704.84971987695</v>
      </c>
      <c r="F45" s="36" t="str">
        <f t="shared" si="20"/>
        <v>Forsker 5</v>
      </c>
      <c r="H45" s="57">
        <v>42</v>
      </c>
      <c r="I45" s="288">
        <v>398847.24</v>
      </c>
      <c r="J45" s="3"/>
      <c r="K45" s="4">
        <f t="shared" si="26"/>
        <v>398447.24</v>
      </c>
      <c r="L45" s="2">
        <f t="shared" si="3"/>
        <v>520841.79419030779</v>
      </c>
      <c r="M45" s="2">
        <f t="shared" si="5"/>
        <v>122394.5541903078</v>
      </c>
      <c r="N45" s="18">
        <f t="shared" si="4"/>
        <v>0.30717882294857357</v>
      </c>
      <c r="O45" s="135"/>
      <c r="P45" s="6"/>
      <c r="Q45" s="136"/>
      <c r="R45" s="137"/>
      <c r="S45" s="1"/>
      <c r="AB45" s="28">
        <v>58</v>
      </c>
      <c r="AC45" s="177" t="s">
        <v>119</v>
      </c>
      <c r="AD45" s="14">
        <f t="shared" si="11"/>
        <v>0.4</v>
      </c>
      <c r="AE45" s="177" t="s">
        <v>118</v>
      </c>
      <c r="AF45" s="115">
        <f t="shared" si="12"/>
        <v>0.4</v>
      </c>
    </row>
    <row r="46" spans="1:48" x14ac:dyDescent="0.25">
      <c r="A46" s="28"/>
      <c r="B46" s="1" t="s">
        <v>4</v>
      </c>
      <c r="C46" s="1">
        <v>62</v>
      </c>
      <c r="D46" s="1">
        <v>0</v>
      </c>
      <c r="E46" s="42">
        <f t="shared" si="19"/>
        <v>290156.16069267696</v>
      </c>
      <c r="F46" s="36" t="str">
        <f t="shared" si="20"/>
        <v>Tekn./Adm. 5</v>
      </c>
      <c r="H46" s="57">
        <v>43</v>
      </c>
      <c r="I46" s="288">
        <v>404371.44</v>
      </c>
      <c r="J46" s="3"/>
      <c r="K46" s="4">
        <f t="shared" si="26"/>
        <v>403971.44</v>
      </c>
      <c r="L46" s="2">
        <f t="shared" si="3"/>
        <v>528041.88774184627</v>
      </c>
      <c r="M46" s="2">
        <f t="shared" si="5"/>
        <v>124070.44774184626</v>
      </c>
      <c r="N46" s="18">
        <f t="shared" si="4"/>
        <v>0.3071267804027093</v>
      </c>
      <c r="O46" s="135"/>
      <c r="P46" s="6"/>
      <c r="Q46" s="136"/>
      <c r="R46" s="137"/>
      <c r="S46" s="1"/>
      <c r="AB46" s="28">
        <v>59</v>
      </c>
      <c r="AC46" s="177" t="s">
        <v>119</v>
      </c>
      <c r="AD46" s="14">
        <f t="shared" si="11"/>
        <v>0.4</v>
      </c>
      <c r="AE46" s="177" t="s">
        <v>118</v>
      </c>
      <c r="AF46" s="115">
        <f t="shared" si="12"/>
        <v>0.4</v>
      </c>
    </row>
    <row r="47" spans="1:48" x14ac:dyDescent="0.25">
      <c r="A47" s="28"/>
      <c r="B47" s="1" t="s">
        <v>59</v>
      </c>
      <c r="C47" s="1">
        <v>62</v>
      </c>
      <c r="D47" s="1">
        <v>0</v>
      </c>
      <c r="E47" s="42">
        <f t="shared" si="19"/>
        <v>290156.16069267696</v>
      </c>
      <c r="F47" s="36" t="str">
        <f t="shared" si="20"/>
        <v>Tekn./Adm. 5</v>
      </c>
      <c r="H47" s="57">
        <v>44</v>
      </c>
      <c r="I47" s="288">
        <v>410397.84</v>
      </c>
      <c r="J47" s="3"/>
      <c r="K47" s="4">
        <f t="shared" si="26"/>
        <v>409997.84</v>
      </c>
      <c r="L47" s="2">
        <f t="shared" si="3"/>
        <v>535896.53525261546</v>
      </c>
      <c r="M47" s="2">
        <f t="shared" si="5"/>
        <v>125898.69525261543</v>
      </c>
      <c r="N47" s="18">
        <f t="shared" si="4"/>
        <v>0.30707160616410911</v>
      </c>
      <c r="O47" s="135"/>
      <c r="P47" s="6"/>
      <c r="Q47" s="136"/>
      <c r="R47" s="137"/>
      <c r="S47" s="1"/>
      <c r="AB47" s="28">
        <v>60</v>
      </c>
      <c r="AC47" s="177" t="s">
        <v>121</v>
      </c>
      <c r="AD47" s="14">
        <f t="shared" si="11"/>
        <v>0.4</v>
      </c>
      <c r="AE47" s="177" t="s">
        <v>120</v>
      </c>
      <c r="AF47" s="115">
        <f t="shared" si="12"/>
        <v>0.4</v>
      </c>
    </row>
    <row r="48" spans="1:48" x14ac:dyDescent="0.25">
      <c r="A48" s="28"/>
      <c r="B48" s="1" t="s">
        <v>61</v>
      </c>
      <c r="C48" s="1">
        <v>62</v>
      </c>
      <c r="D48" s="1">
        <v>0</v>
      </c>
      <c r="E48" s="42">
        <f t="shared" si="19"/>
        <v>290156.16069267696</v>
      </c>
      <c r="F48" s="36" t="str">
        <f t="shared" si="20"/>
        <v>Tekn./Adm. 5</v>
      </c>
      <c r="H48" s="57">
        <v>45</v>
      </c>
      <c r="I48" s="288">
        <v>416424.24</v>
      </c>
      <c r="J48" s="3"/>
      <c r="K48" s="4">
        <f t="shared" si="26"/>
        <v>416024.24</v>
      </c>
      <c r="L48" s="2">
        <f t="shared" si="3"/>
        <v>543751.18276338466</v>
      </c>
      <c r="M48" s="2">
        <f t="shared" si="5"/>
        <v>127726.94276338466</v>
      </c>
      <c r="N48" s="18">
        <f t="shared" si="4"/>
        <v>0.30701803039982639</v>
      </c>
      <c r="O48" s="135"/>
      <c r="P48" s="6"/>
      <c r="Q48" s="136"/>
      <c r="R48" s="137"/>
      <c r="S48" s="1"/>
      <c r="AB48" s="28">
        <v>61</v>
      </c>
      <c r="AC48" s="177" t="s">
        <v>121</v>
      </c>
      <c r="AD48" s="14">
        <f>VLOOKUP(AC48,$S$21:$X$27,6,FALSE)</f>
        <v>0.4</v>
      </c>
      <c r="AE48" s="177" t="s">
        <v>120</v>
      </c>
      <c r="AF48" s="115">
        <f t="shared" si="12"/>
        <v>0.4</v>
      </c>
    </row>
    <row r="49" spans="1:32" x14ac:dyDescent="0.25">
      <c r="A49" s="28"/>
      <c r="B49" s="1" t="s">
        <v>5</v>
      </c>
      <c r="C49" s="1">
        <v>63</v>
      </c>
      <c r="D49" s="1">
        <v>0</v>
      </c>
      <c r="E49" s="42">
        <f t="shared" si="19"/>
        <v>295869.55392378464</v>
      </c>
      <c r="F49" s="36" t="str">
        <f t="shared" si="20"/>
        <v>Tekn./Adm. 5</v>
      </c>
      <c r="H49" s="57">
        <v>46</v>
      </c>
      <c r="I49" s="288">
        <v>422551.08</v>
      </c>
      <c r="J49" s="3"/>
      <c r="K49" s="4">
        <f t="shared" si="26"/>
        <v>422151.08</v>
      </c>
      <c r="L49" s="2">
        <f t="shared" si="3"/>
        <v>551736.74106600008</v>
      </c>
      <c r="M49" s="2">
        <f t="shared" si="5"/>
        <v>129585.66106600006</v>
      </c>
      <c r="N49" s="18">
        <f t="shared" si="4"/>
        <v>0.30696512979665963</v>
      </c>
      <c r="O49" s="135"/>
      <c r="P49" s="6"/>
      <c r="Q49" s="136"/>
      <c r="R49" s="137"/>
      <c r="S49" s="1"/>
      <c r="AB49" s="28">
        <v>62</v>
      </c>
      <c r="AC49" s="177" t="s">
        <v>121</v>
      </c>
      <c r="AD49" s="14">
        <f>VLOOKUP(AC49,$S$21:$X$27,6,FALSE)</f>
        <v>0.4</v>
      </c>
      <c r="AE49" s="177" t="s">
        <v>120</v>
      </c>
      <c r="AF49" s="115">
        <f t="shared" si="12"/>
        <v>0.4</v>
      </c>
    </row>
    <row r="50" spans="1:32" x14ac:dyDescent="0.25">
      <c r="A50" s="28"/>
      <c r="B50" s="1" t="s">
        <v>7</v>
      </c>
      <c r="C50" s="1">
        <v>63</v>
      </c>
      <c r="D50" s="1">
        <v>0</v>
      </c>
      <c r="E50" s="42">
        <f t="shared" si="19"/>
        <v>295869.55392378464</v>
      </c>
      <c r="F50" s="36" t="str">
        <f t="shared" si="20"/>
        <v>Tekn./Adm. 5</v>
      </c>
      <c r="H50" s="57">
        <v>47</v>
      </c>
      <c r="I50" s="288">
        <v>430512.28</v>
      </c>
      <c r="J50" s="3"/>
      <c r="K50" s="4">
        <f t="shared" si="26"/>
        <v>430112.28</v>
      </c>
      <c r="L50" s="2">
        <f t="shared" si="3"/>
        <v>562113.15480600006</v>
      </c>
      <c r="M50" s="2">
        <f t="shared" si="5"/>
        <v>132000.87480600004</v>
      </c>
      <c r="N50" s="18">
        <f t="shared" si="4"/>
        <v>0.30689864238705306</v>
      </c>
      <c r="O50" s="135"/>
      <c r="P50" s="6"/>
      <c r="Q50" s="136"/>
      <c r="R50" s="137"/>
      <c r="S50" s="1"/>
      <c r="AB50" s="28">
        <v>63</v>
      </c>
      <c r="AC50" s="177" t="s">
        <v>121</v>
      </c>
      <c r="AD50" s="14">
        <f t="shared" si="11"/>
        <v>0.4</v>
      </c>
      <c r="AE50" s="177" t="s">
        <v>120</v>
      </c>
      <c r="AF50" s="115">
        <f t="shared" si="12"/>
        <v>0.4</v>
      </c>
    </row>
    <row r="51" spans="1:32" x14ac:dyDescent="0.25">
      <c r="A51" s="28"/>
      <c r="B51" s="1" t="s">
        <v>51</v>
      </c>
      <c r="C51" s="1">
        <v>64</v>
      </c>
      <c r="D51" s="1">
        <v>0</v>
      </c>
      <c r="E51" s="42">
        <f t="shared" si="19"/>
        <v>300497.91513581539</v>
      </c>
      <c r="F51" s="36" t="str">
        <f t="shared" si="20"/>
        <v>Tekn./Adm. 5</v>
      </c>
      <c r="H51" s="57">
        <v>48</v>
      </c>
      <c r="I51" s="288">
        <v>437449.54</v>
      </c>
      <c r="J51" s="3"/>
      <c r="K51" s="4">
        <f t="shared" si="26"/>
        <v>437049.54</v>
      </c>
      <c r="L51" s="2">
        <f t="shared" si="3"/>
        <v>571154.99271761545</v>
      </c>
      <c r="M51" s="2">
        <f t="shared" si="5"/>
        <v>134105.45271761547</v>
      </c>
      <c r="N51" s="18">
        <f t="shared" si="4"/>
        <v>0.30684268130705611</v>
      </c>
      <c r="O51" s="135"/>
      <c r="P51" s="6"/>
      <c r="Q51" s="136"/>
      <c r="R51" s="137"/>
      <c r="AB51" s="28">
        <v>64</v>
      </c>
      <c r="AC51" s="177" t="s">
        <v>121</v>
      </c>
      <c r="AD51" s="14">
        <f t="shared" si="11"/>
        <v>0.4</v>
      </c>
      <c r="AE51" s="177" t="s">
        <v>120</v>
      </c>
      <c r="AF51" s="115">
        <f t="shared" si="12"/>
        <v>0.4</v>
      </c>
    </row>
    <row r="52" spans="1:32" x14ac:dyDescent="0.25">
      <c r="A52" s="28"/>
      <c r="B52" s="1" t="s">
        <v>21</v>
      </c>
      <c r="C52" s="1">
        <v>66</v>
      </c>
      <c r="D52" s="1">
        <v>0</v>
      </c>
      <c r="E52" s="42">
        <f t="shared" si="19"/>
        <v>311651.51460110774</v>
      </c>
      <c r="F52" s="36" t="str">
        <f t="shared" si="20"/>
        <v>Tekn./Adm. 4</v>
      </c>
      <c r="H52" s="57">
        <v>49</v>
      </c>
      <c r="I52" s="288">
        <v>444688.42</v>
      </c>
      <c r="J52" s="3"/>
      <c r="K52" s="4">
        <f t="shared" si="26"/>
        <v>444288.42</v>
      </c>
      <c r="L52" s="2">
        <f t="shared" si="3"/>
        <v>580589.95401669235</v>
      </c>
      <c r="M52" s="2">
        <f t="shared" si="5"/>
        <v>136301.53401669237</v>
      </c>
      <c r="N52" s="18">
        <f t="shared" si="4"/>
        <v>0.3067861503495688</v>
      </c>
      <c r="O52" s="135"/>
      <c r="P52" s="6"/>
      <c r="Q52" s="136"/>
      <c r="R52" s="137"/>
      <c r="AB52" s="28">
        <v>65</v>
      </c>
      <c r="AC52" s="177" t="s">
        <v>121</v>
      </c>
      <c r="AD52" s="14">
        <f t="shared" si="11"/>
        <v>0.4</v>
      </c>
      <c r="AE52" s="177" t="s">
        <v>120</v>
      </c>
      <c r="AF52" s="115">
        <f t="shared" si="12"/>
        <v>0.4</v>
      </c>
    </row>
    <row r="53" spans="1:32" x14ac:dyDescent="0.25">
      <c r="A53" s="28"/>
      <c r="B53" s="1" t="s">
        <v>32</v>
      </c>
      <c r="C53" s="1">
        <v>66</v>
      </c>
      <c r="D53" s="1">
        <v>0</v>
      </c>
      <c r="E53" s="42">
        <f t="shared" si="19"/>
        <v>311651.51460110774</v>
      </c>
      <c r="F53" s="36" t="str">
        <f t="shared" si="20"/>
        <v>Tekn./Adm. 4</v>
      </c>
      <c r="H53" s="57">
        <v>50</v>
      </c>
      <c r="I53" s="288">
        <v>451726.22</v>
      </c>
      <c r="J53" s="3"/>
      <c r="K53" s="4">
        <f t="shared" si="26"/>
        <v>451326.22</v>
      </c>
      <c r="L53" s="2">
        <f t="shared" si="3"/>
        <v>589762.83305746154</v>
      </c>
      <c r="M53" s="2">
        <f t="shared" si="5"/>
        <v>138436.61305746157</v>
      </c>
      <c r="N53" s="18">
        <f t="shared" si="4"/>
        <v>0.30673292825190074</v>
      </c>
      <c r="O53" s="135"/>
      <c r="P53" s="6"/>
      <c r="Q53" s="136"/>
      <c r="R53" s="137"/>
      <c r="AB53" s="28">
        <v>66</v>
      </c>
      <c r="AC53" s="177" t="s">
        <v>123</v>
      </c>
      <c r="AD53" s="14">
        <f t="shared" si="11"/>
        <v>0.4</v>
      </c>
      <c r="AE53" s="177" t="s">
        <v>122</v>
      </c>
      <c r="AF53" s="115">
        <f t="shared" si="12"/>
        <v>0.4</v>
      </c>
    </row>
    <row r="54" spans="1:32" x14ac:dyDescent="0.25">
      <c r="A54" s="28"/>
      <c r="B54" s="1" t="s">
        <v>34</v>
      </c>
      <c r="C54" s="1">
        <v>69</v>
      </c>
      <c r="D54" s="1">
        <v>0</v>
      </c>
      <c r="E54" s="42">
        <f t="shared" si="19"/>
        <v>329088.83207501541</v>
      </c>
      <c r="F54" s="36" t="str">
        <f t="shared" si="20"/>
        <v>Tekn./Adm. 4</v>
      </c>
      <c r="H54" s="57">
        <v>51</v>
      </c>
      <c r="I54" s="288">
        <v>458864.56</v>
      </c>
      <c r="J54" s="3"/>
      <c r="K54" s="4">
        <f t="shared" si="26"/>
        <v>458464.56</v>
      </c>
      <c r="L54" s="2">
        <f t="shared" si="3"/>
        <v>599066.75322738464</v>
      </c>
      <c r="M54" s="2">
        <f t="shared" si="5"/>
        <v>140602.19322738465</v>
      </c>
      <c r="N54" s="18">
        <f t="shared" si="4"/>
        <v>0.30668061502373195</v>
      </c>
      <c r="O54" s="135"/>
      <c r="P54" s="6"/>
      <c r="Q54" s="136"/>
      <c r="R54" s="137"/>
      <c r="AB54" s="28">
        <v>67</v>
      </c>
      <c r="AC54" s="177" t="s">
        <v>123</v>
      </c>
      <c r="AD54" s="14">
        <f t="shared" si="11"/>
        <v>0.4</v>
      </c>
      <c r="AE54" s="177" t="s">
        <v>122</v>
      </c>
      <c r="AF54" s="115">
        <f t="shared" si="12"/>
        <v>0.4</v>
      </c>
    </row>
    <row r="55" spans="1:32" x14ac:dyDescent="0.25">
      <c r="A55" s="28"/>
      <c r="B55" s="1" t="s">
        <v>53</v>
      </c>
      <c r="C55" s="1">
        <v>71</v>
      </c>
      <c r="D55" s="1">
        <v>0</v>
      </c>
      <c r="E55" s="42">
        <f t="shared" si="19"/>
        <v>343593.74781156925</v>
      </c>
      <c r="F55" s="36" t="str">
        <f t="shared" si="20"/>
        <v>Tekn./Adm. 4</v>
      </c>
      <c r="H55" s="57">
        <v>52</v>
      </c>
      <c r="I55" s="288">
        <v>466505.6</v>
      </c>
      <c r="J55" s="3"/>
      <c r="K55" s="4">
        <f t="shared" si="26"/>
        <v>466105.59999999998</v>
      </c>
      <c r="L55" s="2">
        <f t="shared" si="3"/>
        <v>609025.87904307689</v>
      </c>
      <c r="M55" s="2">
        <f t="shared" si="5"/>
        <v>142920.27904307691</v>
      </c>
      <c r="N55" s="18">
        <f t="shared" si="4"/>
        <v>0.30662639333892772</v>
      </c>
      <c r="O55" s="135"/>
      <c r="P55" s="6"/>
      <c r="Q55" s="136"/>
      <c r="R55" s="137"/>
      <c r="AB55" s="28">
        <v>68</v>
      </c>
      <c r="AC55" s="177" t="s">
        <v>123</v>
      </c>
      <c r="AD55" s="14">
        <f t="shared" si="11"/>
        <v>0.4</v>
      </c>
      <c r="AE55" s="177" t="s">
        <v>122</v>
      </c>
      <c r="AF55" s="115">
        <f t="shared" si="12"/>
        <v>0.4</v>
      </c>
    </row>
    <row r="56" spans="1:32" x14ac:dyDescent="0.25">
      <c r="A56" s="28"/>
      <c r="B56" s="1" t="s">
        <v>54</v>
      </c>
      <c r="C56" s="1">
        <v>71</v>
      </c>
      <c r="D56" s="1">
        <v>0</v>
      </c>
      <c r="E56" s="42">
        <f t="shared" si="19"/>
        <v>343593.74781156925</v>
      </c>
      <c r="F56" s="36" t="str">
        <f t="shared" si="20"/>
        <v>Tekn./Adm. 4</v>
      </c>
      <c r="H56" s="57">
        <v>53</v>
      </c>
      <c r="I56" s="288">
        <v>474548.8</v>
      </c>
      <c r="J56" s="3"/>
      <c r="K56" s="4">
        <f t="shared" si="26"/>
        <v>474148.8</v>
      </c>
      <c r="L56" s="2">
        <f t="shared" si="3"/>
        <v>619509.16937538469</v>
      </c>
      <c r="M56" s="2">
        <f t="shared" si="5"/>
        <v>145360.3693753847</v>
      </c>
      <c r="N56" s="18">
        <f t="shared" si="4"/>
        <v>0.30657120586487768</v>
      </c>
      <c r="O56" s="135"/>
      <c r="P56" s="6"/>
      <c r="Q56" s="136"/>
      <c r="R56" s="137"/>
      <c r="AB56" s="28">
        <v>69</v>
      </c>
      <c r="AC56" s="177" t="s">
        <v>123</v>
      </c>
      <c r="AD56" s="14">
        <f>VLOOKUP(AC56,$S$21:$X$27,6,FALSE)</f>
        <v>0.4</v>
      </c>
      <c r="AE56" s="177" t="s">
        <v>122</v>
      </c>
      <c r="AF56" s="115">
        <f t="shared" si="12"/>
        <v>0.4</v>
      </c>
    </row>
    <row r="57" spans="1:32" x14ac:dyDescent="0.25">
      <c r="A57" s="28"/>
      <c r="B57" s="1" t="s">
        <v>44</v>
      </c>
      <c r="C57" s="1">
        <v>72</v>
      </c>
      <c r="D57" s="1">
        <v>0</v>
      </c>
      <c r="E57" s="42">
        <f t="shared" si="19"/>
        <v>349772.73718670779</v>
      </c>
      <c r="F57" s="36" t="str">
        <f t="shared" si="20"/>
        <v>Tekn./Adm. 4</v>
      </c>
      <c r="H57" s="57">
        <v>54</v>
      </c>
      <c r="I57" s="288">
        <v>482189.84</v>
      </c>
      <c r="J57" s="3"/>
      <c r="K57" s="4">
        <f t="shared" si="26"/>
        <v>481789.84</v>
      </c>
      <c r="L57" s="2">
        <f t="shared" si="3"/>
        <v>629468.29519107693</v>
      </c>
      <c r="M57" s="2">
        <f t="shared" si="5"/>
        <v>147678.45519107691</v>
      </c>
      <c r="N57" s="18">
        <f t="shared" si="4"/>
        <v>0.30652048451473551</v>
      </c>
      <c r="O57" s="135"/>
      <c r="P57" s="6"/>
      <c r="Q57" s="136"/>
      <c r="R57" s="137"/>
      <c r="AB57" s="28">
        <v>70</v>
      </c>
      <c r="AC57" s="177" t="s">
        <v>123</v>
      </c>
      <c r="AD57" s="14">
        <f t="shared" si="11"/>
        <v>0.4</v>
      </c>
      <c r="AE57" s="177" t="s">
        <v>122</v>
      </c>
      <c r="AF57" s="115">
        <f>VLOOKUP(AE57,$S$14:$X$20,6,FALSE)</f>
        <v>0.4</v>
      </c>
    </row>
    <row r="58" spans="1:32" x14ac:dyDescent="0.25">
      <c r="A58" s="28"/>
      <c r="B58" s="1" t="s">
        <v>50</v>
      </c>
      <c r="C58" s="1">
        <v>73</v>
      </c>
      <c r="D58" s="1">
        <v>0</v>
      </c>
      <c r="E58" s="42">
        <f t="shared" si="19"/>
        <v>355951.72656184621</v>
      </c>
      <c r="F58" s="36" t="str">
        <f t="shared" si="20"/>
        <v>Tekn./Adm. 3</v>
      </c>
      <c r="H58" s="57">
        <v>55</v>
      </c>
      <c r="I58" s="288">
        <v>490635.2</v>
      </c>
      <c r="J58" s="3"/>
      <c r="K58" s="4">
        <f t="shared" si="26"/>
        <v>490235.2</v>
      </c>
      <c r="L58" s="2">
        <f t="shared" si="3"/>
        <v>640475.75004000007</v>
      </c>
      <c r="M58" s="2">
        <f t="shared" si="5"/>
        <v>150240.55004000006</v>
      </c>
      <c r="N58" s="18">
        <f t="shared" si="4"/>
        <v>0.30646626362203294</v>
      </c>
      <c r="O58" s="135"/>
      <c r="P58" s="6"/>
      <c r="Q58" s="136"/>
      <c r="R58" s="137"/>
      <c r="AB58" s="28">
        <v>71</v>
      </c>
      <c r="AC58" s="177" t="s">
        <v>123</v>
      </c>
      <c r="AD58" s="14">
        <f t="shared" si="11"/>
        <v>0.4</v>
      </c>
      <c r="AE58" s="177" t="s">
        <v>122</v>
      </c>
      <c r="AF58" s="115">
        <f>VLOOKUP(AE58,$S$14:$X$20,6,FALSE)</f>
        <v>0.4</v>
      </c>
    </row>
    <row r="59" spans="1:32" x14ac:dyDescent="0.25">
      <c r="A59" s="28"/>
      <c r="B59" s="1" t="s">
        <v>49</v>
      </c>
      <c r="C59" s="1">
        <v>74</v>
      </c>
      <c r="D59" s="1">
        <v>0</v>
      </c>
      <c r="E59" s="42">
        <f t="shared" si="19"/>
        <v>362444.90183741553</v>
      </c>
      <c r="F59" s="36" t="str">
        <f t="shared" si="20"/>
        <v>Tekn./Adm. 3</v>
      </c>
      <c r="H59" s="57">
        <v>56</v>
      </c>
      <c r="I59" s="288">
        <v>498778.94</v>
      </c>
      <c r="J59" s="3"/>
      <c r="K59" s="4">
        <f t="shared" si="26"/>
        <v>498378.94</v>
      </c>
      <c r="L59" s="2">
        <f t="shared" si="3"/>
        <v>651090.08150146168</v>
      </c>
      <c r="M59" s="2">
        <f t="shared" si="5"/>
        <v>152711.14150146168</v>
      </c>
      <c r="N59" s="18">
        <f t="shared" si="4"/>
        <v>0.30641571953554392</v>
      </c>
      <c r="O59" s="135"/>
      <c r="P59" s="6"/>
      <c r="Q59" s="136"/>
      <c r="R59" s="137"/>
      <c r="AB59" s="28">
        <v>72</v>
      </c>
      <c r="AC59" s="177" t="s">
        <v>123</v>
      </c>
      <c r="AD59" s="14">
        <f t="shared" si="11"/>
        <v>0.4</v>
      </c>
      <c r="AE59" s="177" t="s">
        <v>122</v>
      </c>
      <c r="AF59" s="115">
        <f t="shared" si="12"/>
        <v>0.4</v>
      </c>
    </row>
    <row r="60" spans="1:32" x14ac:dyDescent="0.25">
      <c r="A60" s="28"/>
      <c r="B60" s="1" t="s">
        <v>6</v>
      </c>
      <c r="C60" s="1">
        <v>83</v>
      </c>
      <c r="D60" s="1">
        <v>0</v>
      </c>
      <c r="E60" s="42">
        <f t="shared" si="19"/>
        <v>462827.29702504625</v>
      </c>
      <c r="F60" s="36" t="str">
        <f t="shared" si="20"/>
        <v>Tekn./Adm. 2</v>
      </c>
      <c r="H60" s="57">
        <v>57</v>
      </c>
      <c r="I60" s="288">
        <v>507425.38</v>
      </c>
      <c r="J60" s="3"/>
      <c r="K60" s="4">
        <f t="shared" si="26"/>
        <v>507025.38</v>
      </c>
      <c r="L60" s="2">
        <f t="shared" si="3"/>
        <v>662359.61860869231</v>
      </c>
      <c r="M60" s="2">
        <f t="shared" si="5"/>
        <v>155334.23860869231</v>
      </c>
      <c r="N60" s="18">
        <f t="shared" si="4"/>
        <v>0.30636383253377236</v>
      </c>
      <c r="O60" s="135"/>
      <c r="P60" s="6"/>
      <c r="Q60" s="136"/>
      <c r="R60" s="137"/>
      <c r="AB60" s="28">
        <v>73</v>
      </c>
      <c r="AC60" s="177" t="s">
        <v>125</v>
      </c>
      <c r="AD60" s="14">
        <f t="shared" si="11"/>
        <v>0.4</v>
      </c>
      <c r="AE60" s="177" t="s">
        <v>124</v>
      </c>
      <c r="AF60" s="115">
        <f t="shared" si="12"/>
        <v>0.4</v>
      </c>
    </row>
    <row r="61" spans="1:32" x14ac:dyDescent="0.25">
      <c r="A61" s="28"/>
      <c r="B61" s="1" t="s">
        <v>1</v>
      </c>
      <c r="C61" s="1">
        <v>84</v>
      </c>
      <c r="D61" s="1">
        <v>0</v>
      </c>
      <c r="E61" s="42">
        <f t="shared" si="19"/>
        <v>474818.72555815394</v>
      </c>
      <c r="F61" s="36" t="str">
        <f t="shared" si="20"/>
        <v>Tekn./Adm. 2</v>
      </c>
      <c r="H61" s="57">
        <v>58</v>
      </c>
      <c r="I61" s="288">
        <v>516373.44</v>
      </c>
      <c r="J61" s="3"/>
      <c r="K61" s="4">
        <f t="shared" si="26"/>
        <v>515973.44</v>
      </c>
      <c r="L61" s="2">
        <f t="shared" si="3"/>
        <v>674022.2791033847</v>
      </c>
      <c r="M61" s="2">
        <f t="shared" si="5"/>
        <v>158048.8391033847</v>
      </c>
      <c r="N61" s="18">
        <f t="shared" si="4"/>
        <v>0.30631196656824949</v>
      </c>
      <c r="O61" s="135"/>
      <c r="P61" s="6"/>
      <c r="Q61" s="136"/>
      <c r="R61" s="137"/>
      <c r="AB61" s="28">
        <v>74</v>
      </c>
      <c r="AC61" s="177" t="s">
        <v>125</v>
      </c>
      <c r="AD61" s="14">
        <f t="shared" si="11"/>
        <v>0.4</v>
      </c>
      <c r="AE61" s="177" t="s">
        <v>124</v>
      </c>
      <c r="AF61" s="115">
        <f t="shared" si="12"/>
        <v>0.4</v>
      </c>
    </row>
    <row r="62" spans="1:32" x14ac:dyDescent="0.25">
      <c r="A62" s="28"/>
      <c r="B62" s="1" t="s">
        <v>31</v>
      </c>
      <c r="C62" s="1">
        <v>84</v>
      </c>
      <c r="D62" s="1">
        <v>0</v>
      </c>
      <c r="E62" s="42">
        <f t="shared" si="19"/>
        <v>474818.72555815394</v>
      </c>
      <c r="F62" s="36" t="str">
        <f t="shared" si="20"/>
        <v>Tekn./Adm. 2</v>
      </c>
      <c r="H62" s="57">
        <v>59</v>
      </c>
      <c r="I62" s="288">
        <v>526025.28</v>
      </c>
      <c r="J62" s="3"/>
      <c r="K62" s="4">
        <f t="shared" si="26"/>
        <v>525625.28</v>
      </c>
      <c r="L62" s="2">
        <f t="shared" si="3"/>
        <v>686602.22750215395</v>
      </c>
      <c r="M62" s="2">
        <f t="shared" si="5"/>
        <v>160976.94750215393</v>
      </c>
      <c r="N62" s="282">
        <f t="shared" si="4"/>
        <v>0.30625800095108424</v>
      </c>
      <c r="O62" s="135"/>
      <c r="P62" s="6"/>
      <c r="Q62" s="136"/>
      <c r="R62" s="137"/>
      <c r="AB62" s="28">
        <v>75</v>
      </c>
      <c r="AC62" s="177" t="s">
        <v>125</v>
      </c>
      <c r="AD62" s="14">
        <f t="shared" si="11"/>
        <v>0.4</v>
      </c>
      <c r="AE62" s="177" t="s">
        <v>124</v>
      </c>
      <c r="AF62" s="115">
        <f t="shared" si="12"/>
        <v>0.4</v>
      </c>
    </row>
    <row r="63" spans="1:32" x14ac:dyDescent="0.25">
      <c r="A63" s="28"/>
      <c r="B63" s="1" t="s">
        <v>17</v>
      </c>
      <c r="C63" s="1">
        <v>86</v>
      </c>
      <c r="D63" s="1">
        <v>1</v>
      </c>
      <c r="E63" s="42">
        <f t="shared" si="19"/>
        <v>504771.11473255395</v>
      </c>
      <c r="F63" s="36" t="str">
        <f t="shared" si="20"/>
        <v>Forsker 2</v>
      </c>
      <c r="H63" s="57">
        <v>60</v>
      </c>
      <c r="I63" s="288">
        <v>535174.42000000004</v>
      </c>
      <c r="J63" s="3"/>
      <c r="K63" s="4">
        <f t="shared" si="26"/>
        <v>534774.42000000004</v>
      </c>
      <c r="L63" s="2">
        <f t="shared" si="3"/>
        <v>698526.97025515395</v>
      </c>
      <c r="M63" s="2">
        <f t="shared" si="5"/>
        <v>163752.55025515391</v>
      </c>
      <c r="N63" s="18">
        <f t="shared" si="4"/>
        <v>0.3062086444881823</v>
      </c>
      <c r="O63" s="135"/>
      <c r="P63" s="6"/>
      <c r="Q63" s="136"/>
      <c r="R63" s="137"/>
      <c r="AB63" s="28">
        <v>76</v>
      </c>
      <c r="AC63" s="177" t="s">
        <v>125</v>
      </c>
      <c r="AD63" s="14">
        <f t="shared" si="11"/>
        <v>0.4</v>
      </c>
      <c r="AE63" s="177" t="s">
        <v>124</v>
      </c>
      <c r="AF63" s="115">
        <f t="shared" si="12"/>
        <v>0.4</v>
      </c>
    </row>
    <row r="64" spans="1:32" x14ac:dyDescent="0.25">
      <c r="A64" s="28"/>
      <c r="B64" s="1" t="s">
        <v>9</v>
      </c>
      <c r="C64" s="1">
        <v>91</v>
      </c>
      <c r="D64" s="1">
        <v>0</v>
      </c>
      <c r="E64" s="42">
        <f t="shared" si="19"/>
        <v>567974.84503587696</v>
      </c>
      <c r="F64" s="36" t="str">
        <f t="shared" si="20"/>
        <v>Tekn./Adm. 1</v>
      </c>
      <c r="H64" s="57">
        <v>61</v>
      </c>
      <c r="I64" s="288">
        <v>545328.96</v>
      </c>
      <c r="J64" s="3"/>
      <c r="K64" s="4">
        <f t="shared" si="26"/>
        <v>544928.96</v>
      </c>
      <c r="L64" s="2">
        <f t="shared" si="3"/>
        <v>711762.12429969234</v>
      </c>
      <c r="M64" s="2">
        <f t="shared" si="5"/>
        <v>166833.16429969238</v>
      </c>
      <c r="N64" s="18">
        <f t="shared" si="4"/>
        <v>0.30615580478543919</v>
      </c>
      <c r="O64" s="135"/>
      <c r="P64" s="6"/>
      <c r="Q64" s="136"/>
      <c r="R64" s="137"/>
      <c r="AB64" s="28">
        <v>77</v>
      </c>
      <c r="AC64" s="177" t="s">
        <v>125</v>
      </c>
      <c r="AD64" s="14">
        <f t="shared" si="11"/>
        <v>0.4</v>
      </c>
      <c r="AE64" s="177" t="s">
        <v>124</v>
      </c>
      <c r="AF64" s="115">
        <f t="shared" si="12"/>
        <v>0.4</v>
      </c>
    </row>
    <row r="65" spans="1:32" x14ac:dyDescent="0.25">
      <c r="A65" s="28"/>
      <c r="B65" s="1" t="s">
        <v>42</v>
      </c>
      <c r="C65" s="1">
        <v>93</v>
      </c>
      <c r="D65" s="1">
        <v>0</v>
      </c>
      <c r="E65" s="42">
        <f t="shared" si="19"/>
        <v>591905.33778535388</v>
      </c>
      <c r="F65" s="36" t="str">
        <f t="shared" si="20"/>
        <v>Tekn./Adm. 1</v>
      </c>
      <c r="H65" s="57">
        <v>62</v>
      </c>
      <c r="I65" s="288">
        <v>555785.12</v>
      </c>
      <c r="J65" s="3"/>
      <c r="K65" s="4">
        <f t="shared" si="26"/>
        <v>555385.12</v>
      </c>
      <c r="L65" s="2">
        <f t="shared" si="3"/>
        <v>725390.40173169237</v>
      </c>
      <c r="M65" s="2">
        <f t="shared" si="5"/>
        <v>170005.28173169238</v>
      </c>
      <c r="N65" s="18">
        <f t="shared" si="4"/>
        <v>0.30610341474703601</v>
      </c>
      <c r="O65" s="135"/>
      <c r="P65" s="6"/>
      <c r="Q65" s="136"/>
      <c r="R65" s="137"/>
      <c r="AB65" s="28">
        <v>78</v>
      </c>
      <c r="AC65" s="177" t="s">
        <v>125</v>
      </c>
      <c r="AD65" s="14">
        <f t="shared" si="11"/>
        <v>0.4</v>
      </c>
      <c r="AE65" s="177" t="s">
        <v>124</v>
      </c>
      <c r="AF65" s="115">
        <f>VLOOKUP(AE65,$S$14:$X$20,6,FALSE)</f>
        <v>0.4</v>
      </c>
    </row>
    <row r="66" spans="1:32" x14ac:dyDescent="0.25">
      <c r="A66" s="28"/>
      <c r="B66" s="1" t="s">
        <v>10</v>
      </c>
      <c r="C66" s="1">
        <v>94</v>
      </c>
      <c r="D66" s="1">
        <v>0</v>
      </c>
      <c r="E66" s="42">
        <f>VLOOKUP(F66,$S$13:$X$27,6,FALSE)*VLOOKUP(C66,H:Q,5,FALSE)</f>
        <v>603896.76631846162</v>
      </c>
      <c r="F66" s="36" t="str">
        <f t="shared" si="20"/>
        <v>Tekn./Adm. 1</v>
      </c>
      <c r="H66" s="57">
        <v>63</v>
      </c>
      <c r="I66" s="288">
        <v>566743.98</v>
      </c>
      <c r="J66" s="3"/>
      <c r="K66" s="4">
        <f t="shared" si="26"/>
        <v>566343.98</v>
      </c>
      <c r="L66" s="2">
        <f t="shared" si="3"/>
        <v>739673.88480946154</v>
      </c>
      <c r="M66" s="2">
        <f t="shared" si="5"/>
        <v>173329.90480946156</v>
      </c>
      <c r="N66" s="18">
        <f t="shared" si="4"/>
        <v>0.3060505822088222</v>
      </c>
      <c r="O66" s="135"/>
      <c r="P66" s="6"/>
      <c r="Q66" s="136"/>
      <c r="R66" s="137"/>
      <c r="AB66" s="28">
        <v>79</v>
      </c>
      <c r="AC66" s="177" t="s">
        <v>125</v>
      </c>
      <c r="AD66" s="14">
        <f t="shared" si="11"/>
        <v>0.4</v>
      </c>
      <c r="AE66" s="177" t="s">
        <v>124</v>
      </c>
      <c r="AF66" s="115">
        <f t="shared" si="12"/>
        <v>0.4</v>
      </c>
    </row>
    <row r="67" spans="1:32" x14ac:dyDescent="0.25">
      <c r="A67" s="28"/>
      <c r="B67" s="80" t="s">
        <v>149</v>
      </c>
      <c r="C67" s="80">
        <v>1</v>
      </c>
      <c r="D67" s="80">
        <v>1</v>
      </c>
      <c r="E67" s="81">
        <v>451000</v>
      </c>
      <c r="F67" s="36"/>
      <c r="H67" s="57">
        <v>64</v>
      </c>
      <c r="I67" s="288">
        <v>575621.64</v>
      </c>
      <c r="J67" s="3"/>
      <c r="K67" s="4">
        <f t="shared" si="26"/>
        <v>575221.64</v>
      </c>
      <c r="L67" s="2">
        <f t="shared" si="3"/>
        <v>751244.78783953842</v>
      </c>
      <c r="M67" s="2">
        <f t="shared" si="5"/>
        <v>176023.1478395384</v>
      </c>
      <c r="N67" s="18">
        <f t="shared" si="4"/>
        <v>0.3060092590388957</v>
      </c>
      <c r="O67" s="135"/>
      <c r="P67" s="6"/>
      <c r="Q67" s="136"/>
      <c r="R67" s="137"/>
      <c r="AB67" s="28">
        <v>80</v>
      </c>
      <c r="AC67" s="177" t="s">
        <v>126</v>
      </c>
      <c r="AD67" s="14">
        <f t="shared" si="11"/>
        <v>0.4</v>
      </c>
      <c r="AE67" s="177" t="s">
        <v>127</v>
      </c>
      <c r="AF67" s="115">
        <f t="shared" si="12"/>
        <v>0.4</v>
      </c>
    </row>
    <row r="68" spans="1:32" x14ac:dyDescent="0.25">
      <c r="A68" s="28"/>
      <c r="B68" s="1" t="s">
        <v>163</v>
      </c>
      <c r="C68" s="107" t="s">
        <v>205</v>
      </c>
      <c r="D68" s="1">
        <v>0</v>
      </c>
      <c r="E68" s="42">
        <f t="shared" ref="E68:E81" si="27">VLOOKUP(F68,$S$13:$X$27,6,FALSE)*VLOOKUP(C68,H:Q,5,FALSE)</f>
        <v>245985.61134000006</v>
      </c>
      <c r="F68" s="36" t="str">
        <f>IF(D68=1,VLOOKUP(C68,$AB$89:$AF$172,2,FALSE),VLOOKUP(C68,$AB$89:$AF$172,4,FALSE))</f>
        <v>Tekn./Adm. 7</v>
      </c>
      <c r="H68" s="57">
        <v>65</v>
      </c>
      <c r="I68" s="288">
        <v>586469.16</v>
      </c>
      <c r="J68" s="3"/>
      <c r="K68" s="4">
        <f t="shared" si="26"/>
        <v>586069.16</v>
      </c>
      <c r="L68" s="2">
        <f t="shared" si="3"/>
        <v>765383.15335892315</v>
      </c>
      <c r="M68" s="2">
        <f t="shared" si="5"/>
        <v>179313.99335892312</v>
      </c>
      <c r="N68" s="18">
        <f t="shared" si="4"/>
        <v>0.3059604660974195</v>
      </c>
      <c r="O68" s="135"/>
      <c r="P68" s="6"/>
      <c r="Q68" s="136"/>
      <c r="R68" s="137"/>
      <c r="AB68" s="28">
        <v>81</v>
      </c>
      <c r="AC68" s="177" t="s">
        <v>126</v>
      </c>
      <c r="AD68" s="14">
        <f t="shared" si="11"/>
        <v>0.4</v>
      </c>
      <c r="AE68" s="177" t="s">
        <v>127</v>
      </c>
      <c r="AF68" s="115">
        <f t="shared" si="12"/>
        <v>0.4</v>
      </c>
    </row>
    <row r="69" spans="1:32" x14ac:dyDescent="0.25">
      <c r="A69" s="28"/>
      <c r="B69" s="1" t="s">
        <v>164</v>
      </c>
      <c r="C69" s="107" t="s">
        <v>215</v>
      </c>
      <c r="D69" s="1">
        <v>0</v>
      </c>
      <c r="E69" s="42">
        <f t="shared" si="27"/>
        <v>289864.53489000007</v>
      </c>
      <c r="F69" s="36" t="str">
        <f t="shared" ref="F69:F81" si="28">IF(D69=1,VLOOKUP(C69,$AB$89:$AF$172,2,FALSE),VLOOKUP(C69,$AB$89:$AF$172,4,FALSE))</f>
        <v>Tekn./Adm. 6</v>
      </c>
      <c r="H69" s="57">
        <v>66</v>
      </c>
      <c r="I69" s="288">
        <v>597015.36</v>
      </c>
      <c r="J69" s="3"/>
      <c r="K69" s="4">
        <f t="shared" si="26"/>
        <v>596615.36</v>
      </c>
      <c r="L69" s="2">
        <f t="shared" ref="L69:L104" si="29">((K69*(1-5/52)*1.12+K69*0.13+1329)*1.141)</f>
        <v>779128.78650276933</v>
      </c>
      <c r="M69" s="2">
        <f t="shared" si="5"/>
        <v>182513.42650276935</v>
      </c>
      <c r="N69" s="18">
        <f t="shared" ref="N69:N104" si="30">M69/K69</f>
        <v>0.30591472955501742</v>
      </c>
      <c r="O69" s="135"/>
      <c r="P69" s="6"/>
      <c r="Q69" s="136"/>
      <c r="R69" s="137"/>
      <c r="AB69" s="28">
        <v>82</v>
      </c>
      <c r="AC69" s="177" t="s">
        <v>126</v>
      </c>
      <c r="AD69" s="14">
        <f t="shared" si="11"/>
        <v>0.4</v>
      </c>
      <c r="AE69" s="177" t="s">
        <v>127</v>
      </c>
      <c r="AF69" s="115">
        <f t="shared" si="12"/>
        <v>0.4</v>
      </c>
    </row>
    <row r="70" spans="1:32" x14ac:dyDescent="0.25">
      <c r="A70" s="28"/>
      <c r="B70" s="1" t="s">
        <v>165</v>
      </c>
      <c r="C70" s="107" t="s">
        <v>221</v>
      </c>
      <c r="D70" s="1">
        <v>0</v>
      </c>
      <c r="E70" s="42">
        <f t="shared" si="27"/>
        <v>323705.79619000002</v>
      </c>
      <c r="F70" s="36" t="str">
        <f t="shared" si="28"/>
        <v>Tekn./Adm. 5</v>
      </c>
      <c r="H70" s="57">
        <v>67</v>
      </c>
      <c r="I70" s="288">
        <v>608164.19999999995</v>
      </c>
      <c r="J70" s="3"/>
      <c r="K70" s="4">
        <f t="shared" si="26"/>
        <v>607764.19999999995</v>
      </c>
      <c r="L70" s="2">
        <f t="shared" si="29"/>
        <v>793659.8843976924</v>
      </c>
      <c r="M70" s="2">
        <f t="shared" ref="M70:M104" si="31">L70-K70</f>
        <v>185895.68439769244</v>
      </c>
      <c r="N70" s="18">
        <f t="shared" si="30"/>
        <v>0.30586810542261694</v>
      </c>
      <c r="O70" s="135"/>
      <c r="P70" s="6"/>
      <c r="Q70" s="136"/>
      <c r="R70" s="137"/>
      <c r="AB70" s="28">
        <v>83</v>
      </c>
      <c r="AC70" s="177" t="s">
        <v>126</v>
      </c>
      <c r="AD70" s="14">
        <f t="shared" ref="AD70:AD88" si="32">VLOOKUP(AC70,$S$21:$X$27,6,FALSE)</f>
        <v>0.4</v>
      </c>
      <c r="AE70" s="177" t="s">
        <v>127</v>
      </c>
      <c r="AF70" s="115">
        <f t="shared" ref="AF70:AF88" si="33">VLOOKUP(AE70,$S$14:$X$20,6,FALSE)</f>
        <v>0.4</v>
      </c>
    </row>
    <row r="71" spans="1:32" x14ac:dyDescent="0.25">
      <c r="A71" s="28"/>
      <c r="B71" s="1" t="s">
        <v>166</v>
      </c>
      <c r="C71" s="107" t="s">
        <v>227</v>
      </c>
      <c r="D71" s="1">
        <v>0</v>
      </c>
      <c r="E71" s="42">
        <f t="shared" si="27"/>
        <v>360056.85814000008</v>
      </c>
      <c r="F71" s="36" t="str">
        <f t="shared" si="28"/>
        <v>Tekn./Adm. 4</v>
      </c>
      <c r="H71" s="57">
        <v>68</v>
      </c>
      <c r="I71" s="288">
        <v>618609.96</v>
      </c>
      <c r="J71" s="3"/>
      <c r="K71" s="4">
        <f t="shared" si="26"/>
        <v>618209.96</v>
      </c>
      <c r="L71" s="2">
        <f t="shared" si="29"/>
        <v>807274.60674969247</v>
      </c>
      <c r="M71" s="2">
        <f t="shared" si="31"/>
        <v>189064.6467496925</v>
      </c>
      <c r="N71" s="18">
        <f t="shared" si="30"/>
        <v>0.30582594746563535</v>
      </c>
      <c r="O71" s="135"/>
      <c r="P71" s="6"/>
      <c r="Q71" s="136"/>
      <c r="R71" s="137"/>
      <c r="AB71" s="28">
        <v>84</v>
      </c>
      <c r="AC71" s="177" t="s">
        <v>126</v>
      </c>
      <c r="AD71" s="14">
        <f t="shared" si="32"/>
        <v>0.4</v>
      </c>
      <c r="AE71" s="177" t="s">
        <v>127</v>
      </c>
      <c r="AF71" s="115">
        <f t="shared" si="33"/>
        <v>0.4</v>
      </c>
    </row>
    <row r="72" spans="1:32" x14ac:dyDescent="0.25">
      <c r="A72" s="28"/>
      <c r="B72" s="1" t="s">
        <v>167</v>
      </c>
      <c r="C72" s="107" t="s">
        <v>234</v>
      </c>
      <c r="D72" s="1">
        <v>0</v>
      </c>
      <c r="E72" s="42">
        <f t="shared" si="27"/>
        <v>414779.33224000008</v>
      </c>
      <c r="F72" s="36" t="str">
        <f t="shared" si="28"/>
        <v>Tekn./Adm. 3</v>
      </c>
      <c r="H72" s="57">
        <v>69</v>
      </c>
      <c r="I72" s="288">
        <v>630461.88</v>
      </c>
      <c r="J72" s="3"/>
      <c r="K72" s="4">
        <f t="shared" si="26"/>
        <v>630061.88</v>
      </c>
      <c r="L72" s="2">
        <f t="shared" si="29"/>
        <v>822722.08018753852</v>
      </c>
      <c r="M72" s="2">
        <f t="shared" si="31"/>
        <v>192660.20018753852</v>
      </c>
      <c r="N72" s="18">
        <f t="shared" si="30"/>
        <v>0.30577980719534803</v>
      </c>
      <c r="O72" s="135"/>
      <c r="P72" s="6"/>
      <c r="Q72" s="136"/>
      <c r="R72" s="137"/>
      <c r="AB72" s="28">
        <v>85</v>
      </c>
      <c r="AC72" s="177" t="s">
        <v>126</v>
      </c>
      <c r="AD72" s="14">
        <f t="shared" si="32"/>
        <v>0.4</v>
      </c>
      <c r="AE72" s="177" t="s">
        <v>127</v>
      </c>
      <c r="AF72" s="115">
        <f t="shared" si="33"/>
        <v>0.4</v>
      </c>
    </row>
    <row r="73" spans="1:32" x14ac:dyDescent="0.25">
      <c r="A73" s="28"/>
      <c r="B73" s="1" t="s">
        <v>168</v>
      </c>
      <c r="C73" s="107" t="s">
        <v>242</v>
      </c>
      <c r="D73" s="1">
        <v>0</v>
      </c>
      <c r="E73" s="42">
        <f t="shared" si="27"/>
        <v>519525.59680000017</v>
      </c>
      <c r="F73" s="36" t="str">
        <f t="shared" si="28"/>
        <v>Tekn./Adm. 2</v>
      </c>
      <c r="H73" s="57">
        <v>70</v>
      </c>
      <c r="I73" s="288">
        <v>643016.88</v>
      </c>
      <c r="J73" s="3"/>
      <c r="K73" s="4">
        <f t="shared" si="26"/>
        <v>642616.88</v>
      </c>
      <c r="L73" s="2">
        <f t="shared" si="29"/>
        <v>839085.9291683078</v>
      </c>
      <c r="M73" s="2">
        <f t="shared" si="31"/>
        <v>196469.0491683078</v>
      </c>
      <c r="N73" s="18">
        <f t="shared" si="30"/>
        <v>0.3057327861793917</v>
      </c>
      <c r="O73" s="135"/>
      <c r="P73" s="6"/>
      <c r="Q73" s="136"/>
      <c r="R73" s="137"/>
      <c r="AB73" s="28">
        <v>86</v>
      </c>
      <c r="AC73" s="177" t="s">
        <v>126</v>
      </c>
      <c r="AD73" s="14">
        <f t="shared" si="32"/>
        <v>0.4</v>
      </c>
      <c r="AE73" s="177" t="s">
        <v>127</v>
      </c>
      <c r="AF73" s="115">
        <f t="shared" si="33"/>
        <v>0.4</v>
      </c>
    </row>
    <row r="74" spans="1:32" x14ac:dyDescent="0.25">
      <c r="A74" s="28"/>
      <c r="B74" s="1" t="s">
        <v>169</v>
      </c>
      <c r="C74" s="107" t="s">
        <v>255</v>
      </c>
      <c r="D74" s="1">
        <v>0</v>
      </c>
      <c r="E74" s="42">
        <f t="shared" si="27"/>
        <v>699737.3047000001</v>
      </c>
      <c r="F74" s="36" t="str">
        <f t="shared" si="28"/>
        <v>Tekn./Adm. 1</v>
      </c>
      <c r="H74" s="57">
        <v>71</v>
      </c>
      <c r="I74" s="288">
        <v>658283.76</v>
      </c>
      <c r="J74" s="3"/>
      <c r="K74" s="4">
        <f t="shared" si="26"/>
        <v>657883.76</v>
      </c>
      <c r="L74" s="2">
        <f t="shared" si="29"/>
        <v>858984.36952892307</v>
      </c>
      <c r="M74" s="2">
        <f t="shared" si="31"/>
        <v>201100.60952892306</v>
      </c>
      <c r="N74" s="18">
        <f t="shared" si="30"/>
        <v>0.30567802666070226</v>
      </c>
      <c r="O74" s="135"/>
      <c r="P74" s="6"/>
      <c r="Q74" s="136"/>
      <c r="R74" s="137"/>
      <c r="AB74" s="28">
        <v>87</v>
      </c>
      <c r="AC74" s="177" t="s">
        <v>126</v>
      </c>
      <c r="AD74" s="14">
        <f t="shared" si="32"/>
        <v>0.4</v>
      </c>
      <c r="AE74" s="177" t="s">
        <v>127</v>
      </c>
      <c r="AF74" s="115">
        <f>VLOOKUP(AE74,$S$14:$X$20,6,FALSE)</f>
        <v>0.4</v>
      </c>
    </row>
    <row r="75" spans="1:32" x14ac:dyDescent="0.25">
      <c r="A75" s="28"/>
      <c r="B75" s="1" t="s">
        <v>170</v>
      </c>
      <c r="C75" s="107" t="s">
        <v>188</v>
      </c>
      <c r="D75" s="1">
        <v>1</v>
      </c>
      <c r="E75" s="42">
        <f t="shared" si="27"/>
        <v>196920.85420000006</v>
      </c>
      <c r="F75" s="36" t="str">
        <f t="shared" si="28"/>
        <v>Forsker 7</v>
      </c>
      <c r="H75" s="57">
        <v>72</v>
      </c>
      <c r="I75" s="288">
        <v>670135.68000000005</v>
      </c>
      <c r="J75" s="3"/>
      <c r="K75" s="4">
        <f t="shared" si="26"/>
        <v>669735.68000000005</v>
      </c>
      <c r="L75" s="2">
        <f t="shared" si="29"/>
        <v>874431.84296676936</v>
      </c>
      <c r="M75" s="2">
        <f t="shared" si="31"/>
        <v>204696.16296676931</v>
      </c>
      <c r="N75" s="18">
        <f t="shared" si="30"/>
        <v>0.30563723731542763</v>
      </c>
      <c r="O75" s="135"/>
      <c r="P75" s="6"/>
      <c r="Q75" s="136"/>
      <c r="R75" s="137"/>
      <c r="AB75" s="28">
        <v>88</v>
      </c>
      <c r="AC75" s="177" t="s">
        <v>126</v>
      </c>
      <c r="AD75" s="14">
        <f t="shared" si="32"/>
        <v>0.4</v>
      </c>
      <c r="AE75" s="177" t="s">
        <v>127</v>
      </c>
      <c r="AF75" s="115">
        <f>VLOOKUP(AE75,$S$14:$X$20,6,FALSE)</f>
        <v>0.4</v>
      </c>
    </row>
    <row r="76" spans="1:32" x14ac:dyDescent="0.25">
      <c r="A76" s="28"/>
      <c r="B76" s="1" t="s">
        <v>171</v>
      </c>
      <c r="C76" s="107" t="s">
        <v>215</v>
      </c>
      <c r="D76" s="1">
        <v>1</v>
      </c>
      <c r="E76" s="42">
        <f t="shared" si="27"/>
        <v>289864.53489000007</v>
      </c>
      <c r="F76" s="36" t="str">
        <f t="shared" si="28"/>
        <v>Forsker 6</v>
      </c>
      <c r="H76" s="57">
        <v>73</v>
      </c>
      <c r="I76" s="288">
        <v>681987.6</v>
      </c>
      <c r="J76" s="3"/>
      <c r="K76" s="4">
        <f t="shared" si="26"/>
        <v>681587.6</v>
      </c>
      <c r="L76" s="2">
        <f t="shared" si="29"/>
        <v>889879.31640461541</v>
      </c>
      <c r="M76" s="2">
        <f t="shared" si="31"/>
        <v>208291.71640461544</v>
      </c>
      <c r="N76" s="18">
        <f t="shared" si="30"/>
        <v>0.3055978665172539</v>
      </c>
      <c r="O76" s="135"/>
      <c r="P76" s="6"/>
      <c r="Q76" s="136"/>
      <c r="R76" s="137"/>
      <c r="AB76" s="28">
        <v>89</v>
      </c>
      <c r="AC76" s="177" t="s">
        <v>126</v>
      </c>
      <c r="AD76" s="14">
        <f t="shared" si="32"/>
        <v>0.4</v>
      </c>
      <c r="AE76" s="177" t="s">
        <v>127</v>
      </c>
      <c r="AF76" s="115">
        <f t="shared" si="33"/>
        <v>0.4</v>
      </c>
    </row>
    <row r="77" spans="1:32" x14ac:dyDescent="0.25">
      <c r="A77" s="28"/>
      <c r="B77" s="1" t="s">
        <v>172</v>
      </c>
      <c r="C77" s="107" t="s">
        <v>222</v>
      </c>
      <c r="D77" s="1">
        <v>1</v>
      </c>
      <c r="E77" s="42">
        <f t="shared" si="27"/>
        <v>328770.50122000003</v>
      </c>
      <c r="F77" s="36" t="str">
        <f t="shared" si="28"/>
        <v>Forsker 5</v>
      </c>
      <c r="H77" s="57">
        <v>74</v>
      </c>
      <c r="I77" s="288">
        <v>694442.16</v>
      </c>
      <c r="J77" s="3"/>
      <c r="K77" s="4">
        <f t="shared" si="26"/>
        <v>694042.16</v>
      </c>
      <c r="L77" s="2">
        <f t="shared" si="29"/>
        <v>906112.2545935387</v>
      </c>
      <c r="M77" s="2">
        <f t="shared" si="31"/>
        <v>212070.09459353867</v>
      </c>
      <c r="N77" s="18">
        <f t="shared" si="30"/>
        <v>0.30555794275312997</v>
      </c>
      <c r="O77" s="135"/>
      <c r="P77" s="6"/>
      <c r="Q77" s="136"/>
      <c r="R77" s="137"/>
      <c r="AB77" s="28">
        <v>90</v>
      </c>
      <c r="AC77" s="177" t="s">
        <v>129</v>
      </c>
      <c r="AD77" s="14">
        <f t="shared" si="32"/>
        <v>0.4</v>
      </c>
      <c r="AE77" s="177" t="s">
        <v>128</v>
      </c>
      <c r="AF77" s="115">
        <f t="shared" si="33"/>
        <v>0.4</v>
      </c>
    </row>
    <row r="78" spans="1:32" x14ac:dyDescent="0.25">
      <c r="A78" s="28"/>
      <c r="B78" s="1" t="s">
        <v>173</v>
      </c>
      <c r="C78" s="107" t="s">
        <v>228</v>
      </c>
      <c r="D78" s="1">
        <v>1</v>
      </c>
      <c r="E78" s="42">
        <f t="shared" si="27"/>
        <v>367219.48564000009</v>
      </c>
      <c r="F78" s="36" t="str">
        <f t="shared" si="28"/>
        <v>Forsker 4</v>
      </c>
      <c r="H78" s="57">
        <v>75</v>
      </c>
      <c r="I78" s="288">
        <v>708001.56</v>
      </c>
      <c r="J78" s="3"/>
      <c r="K78" s="4">
        <f t="shared" si="26"/>
        <v>707601.56</v>
      </c>
      <c r="L78" s="2">
        <f t="shared" si="29"/>
        <v>923785.21149276942</v>
      </c>
      <c r="M78" s="2">
        <f t="shared" si="31"/>
        <v>216183.65149276936</v>
      </c>
      <c r="N78" s="18">
        <f t="shared" si="30"/>
        <v>0.30551607530764818</v>
      </c>
      <c r="O78" s="135"/>
      <c r="P78" s="6"/>
      <c r="Q78" s="136"/>
      <c r="R78" s="137"/>
      <c r="AB78" s="28">
        <v>91</v>
      </c>
      <c r="AC78" s="177" t="s">
        <v>129</v>
      </c>
      <c r="AD78" s="14">
        <f t="shared" si="32"/>
        <v>0.4</v>
      </c>
      <c r="AE78" s="177" t="s">
        <v>128</v>
      </c>
      <c r="AF78" s="115">
        <f t="shared" si="33"/>
        <v>0.4</v>
      </c>
    </row>
    <row r="79" spans="1:32" x14ac:dyDescent="0.25">
      <c r="A79" s="28"/>
      <c r="B79" s="1" t="s">
        <v>174</v>
      </c>
      <c r="C79" s="107" t="s">
        <v>235</v>
      </c>
      <c r="D79" s="1">
        <v>1</v>
      </c>
      <c r="E79" s="42">
        <f t="shared" si="27"/>
        <v>425150.81686000008</v>
      </c>
      <c r="F79" s="36" t="str">
        <f t="shared" si="28"/>
        <v>Forsker 3</v>
      </c>
      <c r="H79" s="57">
        <v>76</v>
      </c>
      <c r="I79" s="288">
        <v>726382.07999999996</v>
      </c>
      <c r="J79" s="3"/>
      <c r="K79" s="4">
        <f t="shared" si="26"/>
        <v>725982.08</v>
      </c>
      <c r="L79" s="2">
        <f t="shared" si="29"/>
        <v>947741.88640061533</v>
      </c>
      <c r="M79" s="2">
        <f t="shared" si="31"/>
        <v>221759.80640061537</v>
      </c>
      <c r="N79" s="18">
        <f t="shared" si="30"/>
        <v>0.30546181856253996</v>
      </c>
      <c r="O79" s="135"/>
      <c r="P79" s="6"/>
      <c r="Q79" s="136"/>
      <c r="R79" s="137"/>
      <c r="AB79" s="28">
        <v>92</v>
      </c>
      <c r="AC79" s="177" t="s">
        <v>129</v>
      </c>
      <c r="AD79" s="14">
        <f t="shared" si="32"/>
        <v>0.4</v>
      </c>
      <c r="AE79" s="177" t="s">
        <v>128</v>
      </c>
      <c r="AF79" s="115">
        <f t="shared" si="33"/>
        <v>0.4</v>
      </c>
    </row>
    <row r="80" spans="1:32" x14ac:dyDescent="0.25">
      <c r="A80" s="28"/>
      <c r="B80" s="1" t="s">
        <v>175</v>
      </c>
      <c r="C80" s="107" t="s">
        <v>241</v>
      </c>
      <c r="D80" s="1">
        <v>1</v>
      </c>
      <c r="E80" s="42">
        <f t="shared" si="27"/>
        <v>506403.66321999999</v>
      </c>
      <c r="F80" s="36" t="str">
        <f t="shared" si="28"/>
        <v>Forsker 2</v>
      </c>
      <c r="H80" s="57">
        <v>77</v>
      </c>
      <c r="I80" s="288">
        <v>744561.72</v>
      </c>
      <c r="J80" s="3"/>
      <c r="K80" s="4">
        <f t="shared" si="26"/>
        <v>744161.72</v>
      </c>
      <c r="L80" s="2">
        <f t="shared" si="29"/>
        <v>971436.73972476926</v>
      </c>
      <c r="M80" s="2">
        <f t="shared" si="31"/>
        <v>227275.01972476928</v>
      </c>
      <c r="N80" s="18">
        <f t="shared" si="30"/>
        <v>0.30541079125216131</v>
      </c>
      <c r="O80" s="135"/>
      <c r="P80" s="6"/>
      <c r="Q80" s="136"/>
      <c r="R80" s="137"/>
      <c r="AB80" s="28">
        <v>93</v>
      </c>
      <c r="AC80" s="177" t="s">
        <v>129</v>
      </c>
      <c r="AD80" s="14">
        <f t="shared" si="32"/>
        <v>0.4</v>
      </c>
      <c r="AE80" s="177" t="s">
        <v>128</v>
      </c>
      <c r="AF80" s="115">
        <f t="shared" si="33"/>
        <v>0.4</v>
      </c>
    </row>
    <row r="81" spans="1:32" ht="15.75" thickBot="1" x14ac:dyDescent="0.3">
      <c r="A81" s="28"/>
      <c r="B81" s="38" t="s">
        <v>176</v>
      </c>
      <c r="C81" s="108" t="s">
        <v>253</v>
      </c>
      <c r="D81" s="38">
        <v>1</v>
      </c>
      <c r="E81" s="43">
        <f t="shared" si="27"/>
        <v>674009.14671999996</v>
      </c>
      <c r="F81" s="36" t="str">
        <f t="shared" si="28"/>
        <v>Forsker 1</v>
      </c>
      <c r="H81" s="57">
        <v>78</v>
      </c>
      <c r="I81" s="288">
        <v>768466.44</v>
      </c>
      <c r="J81" s="3"/>
      <c r="K81" s="4">
        <f t="shared" si="26"/>
        <v>768066.44</v>
      </c>
      <c r="L81" s="2">
        <f t="shared" si="29"/>
        <v>1002593.5081841538</v>
      </c>
      <c r="M81" s="2">
        <f t="shared" si="31"/>
        <v>234527.06818415388</v>
      </c>
      <c r="N81" s="18">
        <f t="shared" si="30"/>
        <v>0.30534737096982639</v>
      </c>
      <c r="O81" s="135"/>
      <c r="P81" s="6"/>
      <c r="Q81" s="136"/>
      <c r="R81" s="137"/>
      <c r="AB81" s="28">
        <v>94</v>
      </c>
      <c r="AC81" s="177" t="s">
        <v>129</v>
      </c>
      <c r="AD81" s="14">
        <f t="shared" si="32"/>
        <v>0.4</v>
      </c>
      <c r="AE81" s="177" t="s">
        <v>128</v>
      </c>
      <c r="AF81" s="115">
        <f t="shared" si="33"/>
        <v>0.4</v>
      </c>
    </row>
    <row r="82" spans="1:32" x14ac:dyDescent="0.25">
      <c r="A82" s="28"/>
      <c r="H82" s="57">
        <v>79</v>
      </c>
      <c r="I82" s="288">
        <v>792672.48</v>
      </c>
      <c r="J82" s="3"/>
      <c r="K82" s="4">
        <f t="shared" si="26"/>
        <v>792272.48</v>
      </c>
      <c r="L82" s="2">
        <f t="shared" si="29"/>
        <v>1034143.0090190769</v>
      </c>
      <c r="M82" s="2">
        <f t="shared" si="31"/>
        <v>241870.52901907696</v>
      </c>
      <c r="N82" s="18">
        <f t="shared" si="30"/>
        <v>0.30528705101441483</v>
      </c>
      <c r="O82" s="135"/>
      <c r="P82" s="6"/>
      <c r="Q82" s="136"/>
      <c r="R82" s="137"/>
      <c r="AB82" s="28">
        <v>95</v>
      </c>
      <c r="AC82" s="177" t="s">
        <v>129</v>
      </c>
      <c r="AD82" s="14">
        <f t="shared" si="32"/>
        <v>0.4</v>
      </c>
      <c r="AE82" s="177" t="s">
        <v>128</v>
      </c>
      <c r="AF82" s="115">
        <f t="shared" si="33"/>
        <v>0.4</v>
      </c>
    </row>
    <row r="83" spans="1:32" x14ac:dyDescent="0.25">
      <c r="A83" s="28"/>
      <c r="H83" s="57">
        <v>80</v>
      </c>
      <c r="I83" s="288">
        <v>816978.96</v>
      </c>
      <c r="J83" s="3"/>
      <c r="K83" s="4">
        <f t="shared" si="26"/>
        <v>816578.96</v>
      </c>
      <c r="L83" s="2">
        <f t="shared" si="29"/>
        <v>1065823.4206458463</v>
      </c>
      <c r="M83" s="2">
        <f t="shared" si="31"/>
        <v>249244.46064584632</v>
      </c>
      <c r="N83" s="18">
        <f t="shared" si="30"/>
        <v>0.30523007921468653</v>
      </c>
      <c r="O83" s="135"/>
      <c r="P83" s="6"/>
      <c r="Q83" s="136"/>
      <c r="R83" s="137"/>
      <c r="AB83" s="28">
        <v>96</v>
      </c>
      <c r="AC83" s="177" t="s">
        <v>129</v>
      </c>
      <c r="AD83" s="14">
        <f t="shared" si="32"/>
        <v>0.4</v>
      </c>
      <c r="AE83" s="177" t="s">
        <v>128</v>
      </c>
      <c r="AF83" s="115">
        <f t="shared" si="33"/>
        <v>0.4</v>
      </c>
    </row>
    <row r="84" spans="1:32" x14ac:dyDescent="0.25">
      <c r="A84" s="28"/>
      <c r="H84" s="57">
        <v>81</v>
      </c>
      <c r="I84" s="288">
        <v>840883.68</v>
      </c>
      <c r="J84" s="3"/>
      <c r="K84" s="4">
        <f t="shared" si="26"/>
        <v>840483.68</v>
      </c>
      <c r="L84" s="2">
        <f t="shared" si="29"/>
        <v>1096980.1891052308</v>
      </c>
      <c r="M84" s="2">
        <f t="shared" si="31"/>
        <v>256496.5091052308</v>
      </c>
      <c r="N84" s="18">
        <f t="shared" si="30"/>
        <v>0.30517726305551918</v>
      </c>
      <c r="O84" s="135"/>
      <c r="P84" s="6"/>
      <c r="Q84" s="136"/>
      <c r="R84" s="137"/>
      <c r="AB84" s="28">
        <v>97</v>
      </c>
      <c r="AC84" s="177" t="s">
        <v>129</v>
      </c>
      <c r="AD84" s="14">
        <f t="shared" si="32"/>
        <v>0.4</v>
      </c>
      <c r="AE84" s="177" t="s">
        <v>128</v>
      </c>
      <c r="AF84" s="115">
        <f t="shared" si="33"/>
        <v>0.4</v>
      </c>
    </row>
    <row r="85" spans="1:32" x14ac:dyDescent="0.25">
      <c r="A85" s="28"/>
      <c r="H85" s="57">
        <v>82</v>
      </c>
      <c r="I85" s="288">
        <v>864085.32</v>
      </c>
      <c r="J85" s="3"/>
      <c r="K85" s="4">
        <f t="shared" si="26"/>
        <v>863685.32</v>
      </c>
      <c r="L85" s="2">
        <f t="shared" si="29"/>
        <v>1127220.5820216923</v>
      </c>
      <c r="M85" s="2">
        <f t="shared" si="31"/>
        <v>263535.26202169235</v>
      </c>
      <c r="N85" s="18">
        <f t="shared" si="30"/>
        <v>0.30512879623992262</v>
      </c>
      <c r="O85" s="135"/>
      <c r="P85" s="6"/>
      <c r="Q85" s="136"/>
      <c r="R85" s="137"/>
      <c r="AB85" s="28">
        <v>98</v>
      </c>
      <c r="AC85" s="177" t="s">
        <v>129</v>
      </c>
      <c r="AD85" s="14">
        <f t="shared" si="32"/>
        <v>0.4</v>
      </c>
      <c r="AE85" s="177" t="s">
        <v>128</v>
      </c>
      <c r="AF85" s="115">
        <f t="shared" si="33"/>
        <v>0.4</v>
      </c>
    </row>
    <row r="86" spans="1:32" x14ac:dyDescent="0.25">
      <c r="A86" s="28"/>
      <c r="H86" s="57">
        <v>83</v>
      </c>
      <c r="I86" s="288">
        <v>886985.64</v>
      </c>
      <c r="J86" s="3"/>
      <c r="K86" s="4">
        <f t="shared" si="26"/>
        <v>886585.64</v>
      </c>
      <c r="L86" s="2">
        <f t="shared" si="29"/>
        <v>1157068.2425626155</v>
      </c>
      <c r="M86" s="2">
        <f t="shared" si="31"/>
        <v>270482.60256261553</v>
      </c>
      <c r="N86" s="18">
        <f t="shared" si="30"/>
        <v>0.30508344638044838</v>
      </c>
      <c r="O86" s="135"/>
      <c r="P86" s="6"/>
      <c r="Q86" s="136"/>
      <c r="R86" s="137"/>
      <c r="AB86" s="28">
        <v>99</v>
      </c>
      <c r="AC86" s="177" t="s">
        <v>129</v>
      </c>
      <c r="AD86" s="14">
        <f t="shared" si="32"/>
        <v>0.4</v>
      </c>
      <c r="AE86" s="177" t="s">
        <v>128</v>
      </c>
      <c r="AF86" s="115">
        <f t="shared" si="33"/>
        <v>0.4</v>
      </c>
    </row>
    <row r="87" spans="1:32" x14ac:dyDescent="0.25">
      <c r="A87" s="28"/>
      <c r="H87" s="59">
        <v>84</v>
      </c>
      <c r="I87" s="288">
        <v>909986.4</v>
      </c>
      <c r="J87" s="3"/>
      <c r="K87" s="4">
        <f t="shared" ref="K87:K104" si="34">I87-400</f>
        <v>909586.4</v>
      </c>
      <c r="L87" s="2">
        <f t="shared" si="29"/>
        <v>1187046.8138953848</v>
      </c>
      <c r="M87" s="2">
        <f t="shared" si="31"/>
        <v>277460.41389538476</v>
      </c>
      <c r="N87" s="18">
        <f t="shared" si="30"/>
        <v>0.30504019617639921</v>
      </c>
      <c r="O87" s="135"/>
      <c r="P87" s="6"/>
      <c r="Q87" s="136"/>
      <c r="R87" s="137"/>
      <c r="AB87" s="28">
        <v>100</v>
      </c>
      <c r="AC87" s="177" t="s">
        <v>129</v>
      </c>
      <c r="AD87" s="14">
        <f t="shared" si="32"/>
        <v>0.4</v>
      </c>
      <c r="AE87" s="177" t="s">
        <v>128</v>
      </c>
      <c r="AF87" s="115">
        <f t="shared" si="33"/>
        <v>0.4</v>
      </c>
    </row>
    <row r="88" spans="1:32" ht="15.75" thickBot="1" x14ac:dyDescent="0.3">
      <c r="A88" s="28"/>
      <c r="H88" s="59">
        <v>85</v>
      </c>
      <c r="I88" s="288">
        <v>938913.12</v>
      </c>
      <c r="J88" s="3"/>
      <c r="K88" s="4">
        <f t="shared" si="34"/>
        <v>938513.12</v>
      </c>
      <c r="L88" s="2">
        <f t="shared" si="29"/>
        <v>1224749.1219470771</v>
      </c>
      <c r="M88" s="2">
        <f t="shared" si="31"/>
        <v>286236.00194707711</v>
      </c>
      <c r="N88" s="18">
        <f t="shared" si="30"/>
        <v>0.3049888124601573</v>
      </c>
      <c r="O88" s="135"/>
      <c r="P88" s="6"/>
      <c r="Q88" s="136"/>
      <c r="R88" s="137"/>
      <c r="AB88" s="37">
        <v>101</v>
      </c>
      <c r="AC88" s="38" t="s">
        <v>129</v>
      </c>
      <c r="AD88" s="116">
        <f t="shared" si="32"/>
        <v>0.4</v>
      </c>
      <c r="AE88" s="38" t="s">
        <v>128</v>
      </c>
      <c r="AF88" s="117">
        <f t="shared" si="33"/>
        <v>0.4</v>
      </c>
    </row>
    <row r="89" spans="1:32" x14ac:dyDescent="0.25">
      <c r="A89" s="28"/>
      <c r="H89" s="59">
        <v>86</v>
      </c>
      <c r="I89" s="288">
        <v>967438.08</v>
      </c>
      <c r="J89" s="3"/>
      <c r="K89" s="4">
        <f t="shared" si="34"/>
        <v>967038.08</v>
      </c>
      <c r="L89" s="2">
        <f t="shared" si="29"/>
        <v>1261927.7868313848</v>
      </c>
      <c r="M89" s="2">
        <f t="shared" si="31"/>
        <v>294889.7068313848</v>
      </c>
      <c r="N89" s="18">
        <f t="shared" si="30"/>
        <v>0.30494115271177824</v>
      </c>
      <c r="O89" s="135"/>
      <c r="P89" s="6"/>
      <c r="Q89" s="136"/>
      <c r="R89" s="137"/>
      <c r="AB89" s="177" t="s">
        <v>273</v>
      </c>
      <c r="AC89" s="177" t="str">
        <f t="shared" ref="AC89:AC152" si="35">AC5</f>
        <v>Forsker 7</v>
      </c>
      <c r="AD89" s="14">
        <f>VLOOKUP(AC89,$S$21:$X$27,6,FALSE)</f>
        <v>0.4</v>
      </c>
      <c r="AE89" s="177" t="str">
        <f t="shared" ref="AE89:AE152" si="36">AE5</f>
        <v>Tekn./Adm. 7</v>
      </c>
      <c r="AF89" s="115">
        <f>VLOOKUP(AE89,$S$14:$X$20,6,FALSE)</f>
        <v>0.4</v>
      </c>
    </row>
    <row r="90" spans="1:32" ht="15.75" thickBot="1" x14ac:dyDescent="0.3">
      <c r="A90" s="37"/>
      <c r="H90" s="59">
        <v>87</v>
      </c>
      <c r="I90" s="288">
        <v>996565.68</v>
      </c>
      <c r="J90" s="3"/>
      <c r="K90" s="4">
        <f t="shared" si="34"/>
        <v>996165.68</v>
      </c>
      <c r="L90" s="2">
        <f t="shared" si="29"/>
        <v>1299891.9164667695</v>
      </c>
      <c r="M90" s="2">
        <f t="shared" si="31"/>
        <v>303726.23646676948</v>
      </c>
      <c r="N90" s="18">
        <f t="shared" si="30"/>
        <v>0.30489530262352488</v>
      </c>
      <c r="O90" s="135"/>
      <c r="P90" s="6"/>
      <c r="Q90" s="136"/>
      <c r="R90" s="137"/>
      <c r="AB90" s="177" t="s">
        <v>177</v>
      </c>
      <c r="AC90" s="177" t="str">
        <f t="shared" si="35"/>
        <v>Forsker 7</v>
      </c>
      <c r="AD90" s="14">
        <f t="shared" ref="AD90:AD153" si="37">VLOOKUP(AC90,$S$21:$X$27,6,FALSE)</f>
        <v>0.4</v>
      </c>
      <c r="AE90" s="177" t="str">
        <f t="shared" si="36"/>
        <v>Tekn./Adm. 7</v>
      </c>
      <c r="AF90" s="115">
        <f t="shared" ref="AF90:AF153" si="38">VLOOKUP(AE90,$S$14:$X$20,6,FALSE)</f>
        <v>0.4</v>
      </c>
    </row>
    <row r="91" spans="1:32" x14ac:dyDescent="0.25">
      <c r="H91" s="59">
        <v>88</v>
      </c>
      <c r="I91" s="288">
        <v>1019365.56</v>
      </c>
      <c r="J91" s="3"/>
      <c r="K91" s="4">
        <f t="shared" si="34"/>
        <v>1018965.56</v>
      </c>
      <c r="L91" s="2">
        <f t="shared" si="29"/>
        <v>1329608.6662158465</v>
      </c>
      <c r="M91" s="2">
        <f t="shared" si="31"/>
        <v>310643.10621584649</v>
      </c>
      <c r="N91" s="18">
        <f t="shared" si="30"/>
        <v>0.30486124203829468</v>
      </c>
      <c r="O91" s="135"/>
      <c r="P91" s="6"/>
      <c r="Q91" s="136"/>
      <c r="R91" s="137"/>
      <c r="AB91" s="177" t="s">
        <v>178</v>
      </c>
      <c r="AC91" s="177" t="str">
        <f t="shared" si="35"/>
        <v>Forsker 7</v>
      </c>
      <c r="AD91" s="14">
        <f t="shared" si="37"/>
        <v>0.4</v>
      </c>
      <c r="AE91" s="177" t="str">
        <f t="shared" si="36"/>
        <v>Tekn./Adm. 7</v>
      </c>
      <c r="AF91" s="115">
        <f t="shared" si="38"/>
        <v>0.4</v>
      </c>
    </row>
    <row r="92" spans="1:32" x14ac:dyDescent="0.25">
      <c r="H92" s="60">
        <v>89</v>
      </c>
      <c r="I92" s="288">
        <v>1042366.32</v>
      </c>
      <c r="J92" s="3"/>
      <c r="K92" s="4">
        <f t="shared" si="34"/>
        <v>1041966.32</v>
      </c>
      <c r="L92" s="2">
        <f t="shared" si="29"/>
        <v>1359587.2375486156</v>
      </c>
      <c r="M92" s="2">
        <f t="shared" si="31"/>
        <v>317620.9175486156</v>
      </c>
      <c r="N92" s="18">
        <f t="shared" si="30"/>
        <v>0.30482839171674531</v>
      </c>
      <c r="O92" s="135"/>
      <c r="P92" s="6"/>
      <c r="Q92" s="136"/>
      <c r="R92" s="137"/>
      <c r="AB92" s="177" t="s">
        <v>179</v>
      </c>
      <c r="AC92" s="177" t="str">
        <f t="shared" si="35"/>
        <v>Forsker 7</v>
      </c>
      <c r="AD92" s="14">
        <f t="shared" si="37"/>
        <v>0.4</v>
      </c>
      <c r="AE92" s="177" t="str">
        <f t="shared" si="36"/>
        <v>Tekn./Adm. 7</v>
      </c>
      <c r="AF92" s="115">
        <f t="shared" si="38"/>
        <v>0.4</v>
      </c>
    </row>
    <row r="93" spans="1:32" x14ac:dyDescent="0.25">
      <c r="H93" s="60">
        <v>90</v>
      </c>
      <c r="I93" s="288">
        <v>1065367.08</v>
      </c>
      <c r="J93" s="3"/>
      <c r="K93" s="4">
        <f t="shared" si="34"/>
        <v>1064967.08</v>
      </c>
      <c r="L93" s="2">
        <f t="shared" si="29"/>
        <v>1389565.8088813848</v>
      </c>
      <c r="M93" s="2">
        <f t="shared" si="31"/>
        <v>324598.72888138471</v>
      </c>
      <c r="N93" s="18">
        <f t="shared" si="30"/>
        <v>0.30479696037307058</v>
      </c>
      <c r="O93" s="135"/>
      <c r="P93" s="6"/>
      <c r="Q93" s="136"/>
      <c r="R93" s="137"/>
      <c r="AB93" s="177" t="s">
        <v>180</v>
      </c>
      <c r="AC93" s="177" t="str">
        <f t="shared" si="35"/>
        <v>Forsker 7</v>
      </c>
      <c r="AD93" s="14">
        <f t="shared" si="37"/>
        <v>0.4</v>
      </c>
      <c r="AE93" s="177" t="str">
        <f t="shared" si="36"/>
        <v>Tekn./Adm. 7</v>
      </c>
      <c r="AF93" s="115">
        <f t="shared" si="38"/>
        <v>0.4</v>
      </c>
    </row>
    <row r="94" spans="1:32" x14ac:dyDescent="0.25">
      <c r="H94" s="60">
        <v>91</v>
      </c>
      <c r="I94" s="288">
        <v>1088669.1599999999</v>
      </c>
      <c r="J94" s="3"/>
      <c r="K94" s="4">
        <f t="shared" si="34"/>
        <v>1088269.1599999999</v>
      </c>
      <c r="L94" s="2">
        <f t="shared" si="29"/>
        <v>1419937.1125896925</v>
      </c>
      <c r="M94" s="2">
        <f t="shared" si="31"/>
        <v>331667.95258969255</v>
      </c>
      <c r="N94" s="18">
        <f t="shared" si="30"/>
        <v>0.30476647210115976</v>
      </c>
      <c r="O94" s="135"/>
      <c r="P94" s="6"/>
      <c r="Q94" s="136"/>
      <c r="R94" s="137"/>
      <c r="AB94" s="177" t="s">
        <v>181</v>
      </c>
      <c r="AC94" s="177" t="str">
        <f t="shared" si="35"/>
        <v>Forsker 7</v>
      </c>
      <c r="AD94" s="14">
        <f t="shared" si="37"/>
        <v>0.4</v>
      </c>
      <c r="AE94" s="177" t="str">
        <f t="shared" si="36"/>
        <v>Tekn./Adm. 7</v>
      </c>
      <c r="AF94" s="115">
        <f t="shared" si="38"/>
        <v>0.4</v>
      </c>
    </row>
    <row r="95" spans="1:32" x14ac:dyDescent="0.25">
      <c r="H95" s="61">
        <v>92</v>
      </c>
      <c r="I95" s="288">
        <v>1111469.04</v>
      </c>
      <c r="J95" s="3"/>
      <c r="K95" s="4">
        <f t="shared" si="34"/>
        <v>1111069.04</v>
      </c>
      <c r="L95" s="2">
        <f t="shared" si="29"/>
        <v>1449653.8623387695</v>
      </c>
      <c r="M95" s="2">
        <f t="shared" si="31"/>
        <v>338584.82233876945</v>
      </c>
      <c r="N95" s="18">
        <f t="shared" si="30"/>
        <v>0.30473787869993157</v>
      </c>
      <c r="O95" s="135"/>
      <c r="P95" s="6"/>
      <c r="Q95" s="136"/>
      <c r="R95" s="137"/>
      <c r="AB95" s="177" t="s">
        <v>182</v>
      </c>
      <c r="AC95" s="177" t="str">
        <f t="shared" si="35"/>
        <v>Forsker 7</v>
      </c>
      <c r="AD95" s="14">
        <f t="shared" si="37"/>
        <v>0.4</v>
      </c>
      <c r="AE95" s="177" t="str">
        <f t="shared" si="36"/>
        <v>Tekn./Adm. 7</v>
      </c>
      <c r="AF95" s="115">
        <f t="shared" si="38"/>
        <v>0.4</v>
      </c>
    </row>
    <row r="96" spans="1:32" x14ac:dyDescent="0.25">
      <c r="H96" s="61">
        <v>93</v>
      </c>
      <c r="I96" s="288">
        <v>1134570.24</v>
      </c>
      <c r="J96" s="3"/>
      <c r="K96" s="4">
        <f t="shared" si="34"/>
        <v>1134170.24</v>
      </c>
      <c r="L96" s="2">
        <f t="shared" si="29"/>
        <v>1479763.3444633847</v>
      </c>
      <c r="M96" s="2">
        <f t="shared" si="31"/>
        <v>345593.10446338472</v>
      </c>
      <c r="N96" s="18">
        <f t="shared" si="30"/>
        <v>0.30471007991127042</v>
      </c>
      <c r="O96" s="135"/>
      <c r="P96" s="6"/>
      <c r="Q96" s="136"/>
      <c r="R96" s="137"/>
      <c r="AB96" s="177" t="s">
        <v>183</v>
      </c>
      <c r="AC96" s="177" t="str">
        <f t="shared" si="35"/>
        <v>Forsker 7</v>
      </c>
      <c r="AD96" s="14">
        <f t="shared" si="37"/>
        <v>0.4</v>
      </c>
      <c r="AE96" s="177" t="str">
        <f t="shared" si="36"/>
        <v>Tekn./Adm. 7</v>
      </c>
      <c r="AF96" s="115">
        <f t="shared" si="38"/>
        <v>0.4</v>
      </c>
    </row>
    <row r="97" spans="8:32" x14ac:dyDescent="0.25">
      <c r="H97" s="61">
        <v>94</v>
      </c>
      <c r="I97" s="288">
        <v>1157571</v>
      </c>
      <c r="J97" s="3"/>
      <c r="K97" s="4">
        <f t="shared" si="34"/>
        <v>1157171</v>
      </c>
      <c r="L97" s="2">
        <f t="shared" si="29"/>
        <v>1509741.9157961539</v>
      </c>
      <c r="M97" s="2">
        <f t="shared" si="31"/>
        <v>352570.91579615395</v>
      </c>
      <c r="N97" s="18">
        <f t="shared" si="30"/>
        <v>0.30468350468180927</v>
      </c>
      <c r="O97" s="135"/>
      <c r="P97" s="6"/>
      <c r="Q97" s="136"/>
      <c r="R97" s="137"/>
      <c r="AB97" s="177" t="s">
        <v>184</v>
      </c>
      <c r="AC97" s="177" t="str">
        <f t="shared" si="35"/>
        <v>Forsker 7</v>
      </c>
      <c r="AD97" s="14">
        <f t="shared" si="37"/>
        <v>0.4</v>
      </c>
      <c r="AE97" s="177" t="str">
        <f t="shared" si="36"/>
        <v>Tekn./Adm. 7</v>
      </c>
      <c r="AF97" s="115">
        <f t="shared" si="38"/>
        <v>0.4</v>
      </c>
    </row>
    <row r="98" spans="8:32" x14ac:dyDescent="0.25">
      <c r="H98" s="61">
        <v>95</v>
      </c>
      <c r="I98" s="288">
        <v>1180772.6399999999</v>
      </c>
      <c r="J98" s="3"/>
      <c r="K98" s="4">
        <f t="shared" si="34"/>
        <v>1180372.6399999999</v>
      </c>
      <c r="L98" s="2">
        <f t="shared" si="29"/>
        <v>1539982.3087126156</v>
      </c>
      <c r="M98" s="2">
        <f t="shared" si="31"/>
        <v>359609.66871261573</v>
      </c>
      <c r="N98" s="18">
        <f t="shared" si="30"/>
        <v>0.30465774665246032</v>
      </c>
      <c r="O98" s="135"/>
      <c r="P98" s="6"/>
      <c r="Q98" s="136"/>
      <c r="R98" s="137"/>
      <c r="AB98" s="177" t="s">
        <v>185</v>
      </c>
      <c r="AC98" s="177" t="str">
        <f t="shared" si="35"/>
        <v>Forsker 7</v>
      </c>
      <c r="AD98" s="14">
        <f t="shared" si="37"/>
        <v>0.4</v>
      </c>
      <c r="AE98" s="177" t="str">
        <f t="shared" si="36"/>
        <v>Tekn./Adm. 7</v>
      </c>
      <c r="AF98" s="115">
        <f t="shared" si="38"/>
        <v>0.4</v>
      </c>
    </row>
    <row r="99" spans="8:32" x14ac:dyDescent="0.25">
      <c r="H99" s="61">
        <v>96</v>
      </c>
      <c r="I99" s="288">
        <v>1203271.2</v>
      </c>
      <c r="J99" s="3"/>
      <c r="K99" s="4">
        <f t="shared" si="34"/>
        <v>1202871.2</v>
      </c>
      <c r="L99" s="2">
        <f t="shared" si="29"/>
        <v>1569306.3260861542</v>
      </c>
      <c r="M99" s="2">
        <f t="shared" si="31"/>
        <v>366435.12608615425</v>
      </c>
      <c r="N99" s="18">
        <f t="shared" si="30"/>
        <v>0.30463371812888551</v>
      </c>
      <c r="O99" s="135"/>
      <c r="P99" s="6"/>
      <c r="Q99" s="136"/>
      <c r="R99" s="137"/>
      <c r="AB99" s="177" t="s">
        <v>186</v>
      </c>
      <c r="AC99" s="177" t="str">
        <f t="shared" si="35"/>
        <v>Forsker 7</v>
      </c>
      <c r="AD99" s="14">
        <f t="shared" si="37"/>
        <v>0.4</v>
      </c>
      <c r="AE99" s="177" t="str">
        <f t="shared" si="36"/>
        <v>Tekn./Adm. 7</v>
      </c>
      <c r="AF99" s="115">
        <f t="shared" si="38"/>
        <v>0.4</v>
      </c>
    </row>
    <row r="100" spans="8:32" x14ac:dyDescent="0.25">
      <c r="H100" s="61">
        <v>97</v>
      </c>
      <c r="I100" s="288">
        <v>1225870.2</v>
      </c>
      <c r="J100" s="3"/>
      <c r="K100" s="4">
        <f t="shared" si="34"/>
        <v>1225470.2</v>
      </c>
      <c r="L100" s="2">
        <f t="shared" si="29"/>
        <v>1598761.2542515385</v>
      </c>
      <c r="M100" s="2">
        <f t="shared" si="31"/>
        <v>373291.05425153859</v>
      </c>
      <c r="N100" s="18">
        <f t="shared" si="30"/>
        <v>0.30461047053738116</v>
      </c>
      <c r="O100" s="135"/>
      <c r="P100" s="6"/>
      <c r="Q100" s="136"/>
      <c r="R100" s="137"/>
      <c r="AB100" s="177" t="s">
        <v>187</v>
      </c>
      <c r="AC100" s="177" t="str">
        <f t="shared" si="35"/>
        <v>Forsker 7</v>
      </c>
      <c r="AD100" s="14">
        <f t="shared" si="37"/>
        <v>0.4</v>
      </c>
      <c r="AE100" s="177" t="str">
        <f t="shared" si="36"/>
        <v>Tekn./Adm. 7</v>
      </c>
      <c r="AF100" s="115">
        <f t="shared" si="38"/>
        <v>0.4</v>
      </c>
    </row>
    <row r="101" spans="8:32" x14ac:dyDescent="0.25">
      <c r="H101" s="61">
        <v>98</v>
      </c>
      <c r="I101" s="288">
        <v>1248469.2</v>
      </c>
      <c r="J101" s="3"/>
      <c r="K101" s="4">
        <f t="shared" si="34"/>
        <v>1248069.2</v>
      </c>
      <c r="L101" s="2">
        <f t="shared" si="29"/>
        <v>1628216.1824169233</v>
      </c>
      <c r="M101" s="2">
        <f t="shared" si="31"/>
        <v>380146.98241692339</v>
      </c>
      <c r="N101" s="18">
        <f t="shared" si="30"/>
        <v>0.30458806484201628</v>
      </c>
      <c r="O101" s="135"/>
      <c r="P101" s="6"/>
      <c r="Q101" s="136"/>
      <c r="R101" s="137"/>
      <c r="AB101" s="177" t="s">
        <v>188</v>
      </c>
      <c r="AC101" s="177" t="str">
        <f t="shared" si="35"/>
        <v>Forsker 7</v>
      </c>
      <c r="AD101" s="14">
        <f t="shared" si="37"/>
        <v>0.4</v>
      </c>
      <c r="AE101" s="177" t="str">
        <f t="shared" si="36"/>
        <v>Tekn./Adm. 7</v>
      </c>
      <c r="AF101" s="115">
        <f t="shared" si="38"/>
        <v>0.4</v>
      </c>
    </row>
    <row r="102" spans="8:32" x14ac:dyDescent="0.25">
      <c r="H102" s="61">
        <v>99</v>
      </c>
      <c r="I102" s="288">
        <v>1270063.8</v>
      </c>
      <c r="J102" s="3"/>
      <c r="K102" s="4">
        <f t="shared" si="34"/>
        <v>1269663.8</v>
      </c>
      <c r="L102" s="2">
        <f t="shared" si="29"/>
        <v>1656362.0026638464</v>
      </c>
      <c r="M102" s="2">
        <f t="shared" si="31"/>
        <v>386698.20266384631</v>
      </c>
      <c r="N102" s="18">
        <f t="shared" si="30"/>
        <v>0.30456740017620909</v>
      </c>
      <c r="O102" s="135"/>
      <c r="P102" s="6"/>
      <c r="Q102" s="136"/>
      <c r="R102" s="137"/>
      <c r="AB102" s="177" t="s">
        <v>189</v>
      </c>
      <c r="AC102" s="177" t="str">
        <f t="shared" si="35"/>
        <v>Forsker 7</v>
      </c>
      <c r="AD102" s="14">
        <f t="shared" si="37"/>
        <v>0.4</v>
      </c>
      <c r="AE102" s="177" t="str">
        <f t="shared" si="36"/>
        <v>Tekn./Adm. 7</v>
      </c>
      <c r="AF102" s="115">
        <f t="shared" si="38"/>
        <v>0.4</v>
      </c>
    </row>
    <row r="103" spans="8:32" x14ac:dyDescent="0.25">
      <c r="H103" s="61">
        <v>100</v>
      </c>
      <c r="I103" s="288">
        <v>1291557.96</v>
      </c>
      <c r="J103" s="3"/>
      <c r="K103" s="4">
        <f t="shared" si="34"/>
        <v>1291157.96</v>
      </c>
      <c r="L103" s="2">
        <f t="shared" si="29"/>
        <v>1684376.9121189232</v>
      </c>
      <c r="M103" s="2">
        <f t="shared" si="31"/>
        <v>393218.95211892319</v>
      </c>
      <c r="N103" s="18">
        <f t="shared" si="30"/>
        <v>0.30454751804258184</v>
      </c>
      <c r="O103" s="135"/>
      <c r="P103" s="6"/>
      <c r="Q103" s="136"/>
      <c r="R103" s="137"/>
      <c r="AB103" s="177" t="s">
        <v>190</v>
      </c>
      <c r="AC103" s="177" t="str">
        <f t="shared" si="35"/>
        <v>Forsker 7</v>
      </c>
      <c r="AD103" s="14">
        <f t="shared" si="37"/>
        <v>0.4</v>
      </c>
      <c r="AE103" s="177" t="str">
        <f t="shared" si="36"/>
        <v>Tekn./Adm. 7</v>
      </c>
      <c r="AF103" s="115">
        <f t="shared" si="38"/>
        <v>0.4</v>
      </c>
    </row>
    <row r="104" spans="8:32" x14ac:dyDescent="0.25">
      <c r="H104" s="61">
        <v>101</v>
      </c>
      <c r="I104" s="288">
        <v>1313152.56</v>
      </c>
      <c r="J104" s="3"/>
      <c r="K104" s="4">
        <f t="shared" si="34"/>
        <v>1312752.56</v>
      </c>
      <c r="L104" s="2">
        <f t="shared" si="29"/>
        <v>1712522.7323658464</v>
      </c>
      <c r="M104" s="2">
        <f t="shared" si="31"/>
        <v>399770.17236584635</v>
      </c>
      <c r="N104" s="18">
        <f t="shared" si="30"/>
        <v>0.30452819864685415</v>
      </c>
      <c r="O104" s="138"/>
      <c r="P104" s="6"/>
      <c r="Q104" s="139"/>
      <c r="R104" s="140"/>
      <c r="AB104" s="177" t="s">
        <v>191</v>
      </c>
      <c r="AC104" s="177" t="str">
        <f t="shared" si="35"/>
        <v>Forsker 7</v>
      </c>
      <c r="AD104" s="14">
        <f t="shared" si="37"/>
        <v>0.4</v>
      </c>
      <c r="AE104" s="177" t="str">
        <f t="shared" si="36"/>
        <v>Tekn./Adm. 7</v>
      </c>
      <c r="AF104" s="115">
        <f t="shared" si="38"/>
        <v>0.4</v>
      </c>
    </row>
    <row r="105" spans="8:32" x14ac:dyDescent="0.25">
      <c r="H105" s="61" t="s">
        <v>177</v>
      </c>
      <c r="I105" s="288">
        <v>301621.32</v>
      </c>
      <c r="J105" s="3"/>
      <c r="K105" s="4">
        <f t="shared" ref="K105:K150" si="39">I105-400</f>
        <v>301221.32</v>
      </c>
      <c r="L105" s="2">
        <f>((K105*1.12+K105*0.13+1329)*1.141)</f>
        <v>431133.29665000003</v>
      </c>
      <c r="M105" s="2">
        <f t="shared" ref="M105:M133" si="40">L105-K105</f>
        <v>129911.97665000003</v>
      </c>
      <c r="N105" s="18">
        <f t="shared" ref="N105:N132" si="41">M105/K105</f>
        <v>0.43128413569796464</v>
      </c>
      <c r="O105" s="5"/>
      <c r="P105" s="6"/>
      <c r="Q105" s="58"/>
      <c r="AB105" s="177" t="s">
        <v>192</v>
      </c>
      <c r="AC105" s="177" t="str">
        <f t="shared" si="35"/>
        <v>Forsker 7</v>
      </c>
      <c r="AD105" s="14">
        <f t="shared" si="37"/>
        <v>0.4</v>
      </c>
      <c r="AE105" s="177" t="str">
        <f t="shared" si="36"/>
        <v>Tekn./Adm. 7</v>
      </c>
      <c r="AF105" s="115">
        <f t="shared" si="38"/>
        <v>0.4</v>
      </c>
    </row>
    <row r="106" spans="8:32" x14ac:dyDescent="0.25">
      <c r="H106" s="61" t="s">
        <v>178</v>
      </c>
      <c r="I106" s="288">
        <v>305136.71999999997</v>
      </c>
      <c r="J106" s="3"/>
      <c r="K106" s="4">
        <f t="shared" si="39"/>
        <v>304736.71999999997</v>
      </c>
      <c r="L106" s="2">
        <f t="shared" ref="L106:L169" si="42">((K106*1.12+K106*0.13+1329)*1.141)</f>
        <v>436147.13590000005</v>
      </c>
      <c r="M106" s="2">
        <f t="shared" si="40"/>
        <v>131410.41590000008</v>
      </c>
      <c r="N106" s="18">
        <f t="shared" si="41"/>
        <v>0.43122606261562468</v>
      </c>
      <c r="O106" s="5"/>
      <c r="P106" s="6"/>
      <c r="Q106" s="58"/>
      <c r="AB106" s="177" t="s">
        <v>193</v>
      </c>
      <c r="AC106" s="177" t="str">
        <f t="shared" si="35"/>
        <v>Forsker 7</v>
      </c>
      <c r="AD106" s="14">
        <f t="shared" si="37"/>
        <v>0.4</v>
      </c>
      <c r="AE106" s="177" t="str">
        <f t="shared" si="36"/>
        <v>Tekn./Adm. 7</v>
      </c>
      <c r="AF106" s="115">
        <f t="shared" si="38"/>
        <v>0.4</v>
      </c>
    </row>
    <row r="107" spans="8:32" x14ac:dyDescent="0.25">
      <c r="H107" s="61" t="s">
        <v>179</v>
      </c>
      <c r="I107" s="288">
        <v>308953.44</v>
      </c>
      <c r="J107" s="3"/>
      <c r="K107" s="4">
        <f t="shared" si="39"/>
        <v>308553.44</v>
      </c>
      <c r="L107" s="2">
        <f t="shared" si="42"/>
        <v>441590.73280000006</v>
      </c>
      <c r="M107" s="2">
        <f t="shared" si="40"/>
        <v>133037.29280000005</v>
      </c>
      <c r="N107" s="18">
        <f t="shared" si="41"/>
        <v>0.43116451010884876</v>
      </c>
      <c r="O107" s="5"/>
      <c r="P107" s="6"/>
      <c r="Q107" s="58"/>
      <c r="AB107" s="177" t="s">
        <v>194</v>
      </c>
      <c r="AC107" s="177" t="str">
        <f t="shared" si="35"/>
        <v>Forsker 7</v>
      </c>
      <c r="AD107" s="14">
        <f t="shared" si="37"/>
        <v>0.4</v>
      </c>
      <c r="AE107" s="177" t="str">
        <f t="shared" si="36"/>
        <v>Tekn./Adm. 7</v>
      </c>
      <c r="AF107" s="115">
        <f t="shared" si="38"/>
        <v>0.4</v>
      </c>
    </row>
    <row r="108" spans="8:32" x14ac:dyDescent="0.25">
      <c r="H108" s="61" t="s">
        <v>180</v>
      </c>
      <c r="I108" s="288">
        <v>312569.28000000003</v>
      </c>
      <c r="J108" s="3"/>
      <c r="K108" s="4">
        <f t="shared" si="39"/>
        <v>312169.28000000003</v>
      </c>
      <c r="L108" s="2">
        <f t="shared" si="42"/>
        <v>446747.82460000011</v>
      </c>
      <c r="M108" s="2">
        <f t="shared" si="40"/>
        <v>134578.54460000008</v>
      </c>
      <c r="N108" s="18">
        <f t="shared" si="41"/>
        <v>0.43110758560227347</v>
      </c>
      <c r="O108" s="5"/>
      <c r="P108" s="6"/>
      <c r="Q108" s="58"/>
      <c r="AB108" s="177" t="s">
        <v>195</v>
      </c>
      <c r="AC108" s="177" t="str">
        <f t="shared" si="35"/>
        <v>Forsker 7</v>
      </c>
      <c r="AD108" s="14">
        <f t="shared" si="37"/>
        <v>0.4</v>
      </c>
      <c r="AE108" s="177" t="str">
        <f t="shared" si="36"/>
        <v>Tekn./Adm. 7</v>
      </c>
      <c r="AF108" s="115">
        <f t="shared" si="38"/>
        <v>0.4</v>
      </c>
    </row>
    <row r="109" spans="8:32" x14ac:dyDescent="0.25">
      <c r="H109" s="61" t="s">
        <v>181</v>
      </c>
      <c r="I109" s="288">
        <v>316486.44</v>
      </c>
      <c r="J109" s="3"/>
      <c r="K109" s="4">
        <f t="shared" si="39"/>
        <v>316086.44</v>
      </c>
      <c r="L109" s="2">
        <f t="shared" si="42"/>
        <v>452334.67405000003</v>
      </c>
      <c r="M109" s="2">
        <f t="shared" si="40"/>
        <v>136248.23405000003</v>
      </c>
      <c r="N109" s="18">
        <f t="shared" si="41"/>
        <v>0.43104738706918283</v>
      </c>
      <c r="O109" s="5"/>
      <c r="P109" s="6"/>
      <c r="Q109" s="58"/>
      <c r="AB109" s="177" t="s">
        <v>196</v>
      </c>
      <c r="AC109" s="177" t="str">
        <f t="shared" si="35"/>
        <v>Forsker 7</v>
      </c>
      <c r="AD109" s="14">
        <f t="shared" si="37"/>
        <v>0.4</v>
      </c>
      <c r="AE109" s="177" t="str">
        <f t="shared" si="36"/>
        <v>Tekn./Adm. 7</v>
      </c>
      <c r="AF109" s="115">
        <f t="shared" si="38"/>
        <v>0.4</v>
      </c>
    </row>
    <row r="110" spans="8:32" x14ac:dyDescent="0.25">
      <c r="H110" s="61" t="s">
        <v>182</v>
      </c>
      <c r="I110" s="288">
        <v>320403.59999999998</v>
      </c>
      <c r="J110" s="3"/>
      <c r="K110" s="4">
        <f t="shared" si="39"/>
        <v>320003.59999999998</v>
      </c>
      <c r="L110" s="2">
        <f t="shared" si="42"/>
        <v>457921.52350000001</v>
      </c>
      <c r="M110" s="2">
        <f t="shared" si="40"/>
        <v>137917.92350000003</v>
      </c>
      <c r="N110" s="18">
        <f t="shared" si="41"/>
        <v>0.43098866231504906</v>
      </c>
      <c r="O110" s="5"/>
      <c r="P110" s="6"/>
      <c r="Q110" s="58"/>
      <c r="AB110" s="177" t="s">
        <v>197</v>
      </c>
      <c r="AC110" s="177" t="str">
        <f t="shared" si="35"/>
        <v>Forsker 7</v>
      </c>
      <c r="AD110" s="14">
        <f t="shared" si="37"/>
        <v>0.4</v>
      </c>
      <c r="AE110" s="177" t="str">
        <f t="shared" si="36"/>
        <v>Tekn./Adm. 7</v>
      </c>
      <c r="AF110" s="115">
        <f t="shared" si="38"/>
        <v>0.4</v>
      </c>
    </row>
    <row r="111" spans="8:32" x14ac:dyDescent="0.25">
      <c r="H111" s="61" t="s">
        <v>183</v>
      </c>
      <c r="I111" s="288">
        <v>324622.08000000002</v>
      </c>
      <c r="J111" s="3"/>
      <c r="K111" s="4">
        <f t="shared" si="39"/>
        <v>324222.08000000002</v>
      </c>
      <c r="L111" s="2">
        <f t="shared" si="42"/>
        <v>463938.13060000009</v>
      </c>
      <c r="M111" s="2">
        <f t="shared" si="40"/>
        <v>139716.05060000008</v>
      </c>
      <c r="N111" s="18">
        <f t="shared" si="41"/>
        <v>0.43092700719210753</v>
      </c>
      <c r="O111" s="5"/>
      <c r="P111" s="6"/>
      <c r="Q111" s="58"/>
      <c r="AB111" s="177" t="s">
        <v>198</v>
      </c>
      <c r="AC111" s="177" t="str">
        <f t="shared" si="35"/>
        <v>Forsker 7</v>
      </c>
      <c r="AD111" s="14">
        <f t="shared" si="37"/>
        <v>0.4</v>
      </c>
      <c r="AE111" s="177" t="str">
        <f t="shared" si="36"/>
        <v>Tekn./Adm. 7</v>
      </c>
      <c r="AF111" s="115">
        <f t="shared" si="38"/>
        <v>0.4</v>
      </c>
    </row>
    <row r="112" spans="8:32" x14ac:dyDescent="0.25">
      <c r="H112" s="61" t="s">
        <v>184</v>
      </c>
      <c r="I112" s="288">
        <v>328840.56</v>
      </c>
      <c r="J112" s="3"/>
      <c r="K112" s="4">
        <f t="shared" si="39"/>
        <v>328440.56</v>
      </c>
      <c r="L112" s="2">
        <f t="shared" si="42"/>
        <v>469954.7377</v>
      </c>
      <c r="M112" s="2">
        <f t="shared" si="40"/>
        <v>141514.1777</v>
      </c>
      <c r="N112" s="18">
        <f t="shared" si="41"/>
        <v>0.43086693586200192</v>
      </c>
      <c r="O112" s="5"/>
      <c r="P112" s="6"/>
      <c r="Q112" s="58"/>
      <c r="AB112" s="177" t="s">
        <v>199</v>
      </c>
      <c r="AC112" s="177" t="str">
        <f t="shared" si="35"/>
        <v>Forsker 7</v>
      </c>
      <c r="AD112" s="14">
        <f t="shared" si="37"/>
        <v>0.4</v>
      </c>
      <c r="AE112" s="177" t="str">
        <f t="shared" si="36"/>
        <v>Tekn./Adm. 7</v>
      </c>
      <c r="AF112" s="115">
        <f t="shared" si="38"/>
        <v>0.4</v>
      </c>
    </row>
    <row r="113" spans="8:32" x14ac:dyDescent="0.25">
      <c r="H113" s="61" t="s">
        <v>185</v>
      </c>
      <c r="I113" s="288">
        <v>332757.71999999997</v>
      </c>
      <c r="J113" s="3"/>
      <c r="K113" s="4">
        <f t="shared" si="39"/>
        <v>332357.71999999997</v>
      </c>
      <c r="L113" s="2">
        <f t="shared" si="42"/>
        <v>475541.58715000004</v>
      </c>
      <c r="M113" s="2">
        <f t="shared" si="40"/>
        <v>143183.86715000006</v>
      </c>
      <c r="N113" s="18">
        <f t="shared" si="41"/>
        <v>0.43081252076828569</v>
      </c>
      <c r="O113" s="5"/>
      <c r="P113" s="6"/>
      <c r="Q113" s="58"/>
      <c r="AB113" s="177" t="s">
        <v>200</v>
      </c>
      <c r="AC113" s="177" t="str">
        <f t="shared" si="35"/>
        <v>Forsker 7</v>
      </c>
      <c r="AD113" s="14">
        <f t="shared" si="37"/>
        <v>0.4</v>
      </c>
      <c r="AE113" s="177" t="str">
        <f t="shared" si="36"/>
        <v>Tekn./Adm. 7</v>
      </c>
      <c r="AF113" s="115">
        <f t="shared" si="38"/>
        <v>0.4</v>
      </c>
    </row>
    <row r="114" spans="8:32" x14ac:dyDescent="0.25">
      <c r="H114" s="61" t="s">
        <v>186</v>
      </c>
      <c r="I114" s="288">
        <v>336775.32</v>
      </c>
      <c r="J114" s="3"/>
      <c r="K114" s="4">
        <f t="shared" si="39"/>
        <v>336375.32</v>
      </c>
      <c r="L114" s="2">
        <f t="shared" si="42"/>
        <v>481271.68915000005</v>
      </c>
      <c r="M114" s="2">
        <f t="shared" si="40"/>
        <v>144896.36915000004</v>
      </c>
      <c r="N114" s="18">
        <f t="shared" si="41"/>
        <v>0.43075802692658915</v>
      </c>
      <c r="O114" s="5"/>
      <c r="P114" s="6"/>
      <c r="Q114" s="58"/>
      <c r="AB114" s="177" t="s">
        <v>201</v>
      </c>
      <c r="AC114" s="177" t="str">
        <f t="shared" si="35"/>
        <v>Forsker 7</v>
      </c>
      <c r="AD114" s="14">
        <f t="shared" si="37"/>
        <v>0.4</v>
      </c>
      <c r="AE114" s="177" t="str">
        <f t="shared" si="36"/>
        <v>Tekn./Adm. 7</v>
      </c>
      <c r="AF114" s="115">
        <f t="shared" si="38"/>
        <v>0.4</v>
      </c>
    </row>
    <row r="115" spans="8:32" x14ac:dyDescent="0.25">
      <c r="H115" s="61" t="s">
        <v>187</v>
      </c>
      <c r="I115" s="288">
        <v>340491.6</v>
      </c>
      <c r="J115" s="3"/>
      <c r="K115" s="4">
        <f t="shared" si="39"/>
        <v>340091.6</v>
      </c>
      <c r="L115" s="2">
        <f t="shared" si="42"/>
        <v>486572.03350000002</v>
      </c>
      <c r="M115" s="2">
        <f t="shared" si="40"/>
        <v>146480.43350000004</v>
      </c>
      <c r="N115" s="18">
        <f t="shared" si="41"/>
        <v>0.43070876640293393</v>
      </c>
      <c r="O115" s="5"/>
      <c r="P115" s="6"/>
      <c r="Q115" s="58"/>
      <c r="AB115" s="177" t="s">
        <v>202</v>
      </c>
      <c r="AC115" s="177" t="str">
        <f t="shared" si="35"/>
        <v>Forsker 7</v>
      </c>
      <c r="AD115" s="14">
        <f t="shared" si="37"/>
        <v>0.4</v>
      </c>
      <c r="AE115" s="177" t="str">
        <f t="shared" si="36"/>
        <v>Tekn./Adm. 7</v>
      </c>
      <c r="AF115" s="115">
        <f t="shared" si="38"/>
        <v>0.4</v>
      </c>
    </row>
    <row r="116" spans="8:32" x14ac:dyDescent="0.25">
      <c r="H116" s="61" t="s">
        <v>188</v>
      </c>
      <c r="I116" s="288">
        <v>344509.2</v>
      </c>
      <c r="J116" s="3"/>
      <c r="K116" s="4">
        <f t="shared" si="39"/>
        <v>344109.2</v>
      </c>
      <c r="L116" s="2">
        <f t="shared" si="42"/>
        <v>492302.13550000009</v>
      </c>
      <c r="M116" s="2">
        <f t="shared" si="40"/>
        <v>148192.93550000008</v>
      </c>
      <c r="N116" s="18">
        <f t="shared" si="41"/>
        <v>0.43065670868433648</v>
      </c>
      <c r="O116" s="5"/>
      <c r="P116" s="6"/>
      <c r="Q116" s="58"/>
      <c r="AB116" s="177" t="s">
        <v>203</v>
      </c>
      <c r="AC116" s="177" t="str">
        <f t="shared" si="35"/>
        <v>Forsker 7</v>
      </c>
      <c r="AD116" s="14">
        <f t="shared" si="37"/>
        <v>0.4</v>
      </c>
      <c r="AE116" s="177" t="str">
        <f t="shared" si="36"/>
        <v>Tekn./Adm. 7</v>
      </c>
      <c r="AF116" s="115">
        <f t="shared" si="38"/>
        <v>0.4</v>
      </c>
    </row>
    <row r="117" spans="8:32" x14ac:dyDescent="0.25">
      <c r="H117" s="61" t="s">
        <v>189</v>
      </c>
      <c r="I117" s="288">
        <v>348125.04</v>
      </c>
      <c r="J117" s="3"/>
      <c r="K117" s="4">
        <f t="shared" si="39"/>
        <v>347725.04</v>
      </c>
      <c r="L117" s="2">
        <f t="shared" si="42"/>
        <v>497459.22730000009</v>
      </c>
      <c r="M117" s="2">
        <f t="shared" si="40"/>
        <v>149734.18730000011</v>
      </c>
      <c r="N117" s="18">
        <f t="shared" si="41"/>
        <v>0.43061088525577601</v>
      </c>
      <c r="O117" s="5"/>
      <c r="P117" s="6"/>
      <c r="Q117" s="58"/>
      <c r="AB117" s="177" t="s">
        <v>204</v>
      </c>
      <c r="AC117" s="177" t="str">
        <f t="shared" si="35"/>
        <v>Forsker 7</v>
      </c>
      <c r="AD117" s="14">
        <f t="shared" si="37"/>
        <v>0.4</v>
      </c>
      <c r="AE117" s="177" t="str">
        <f t="shared" si="36"/>
        <v>Tekn./Adm. 7</v>
      </c>
      <c r="AF117" s="115">
        <f t="shared" si="38"/>
        <v>0.4</v>
      </c>
    </row>
    <row r="118" spans="8:32" x14ac:dyDescent="0.25">
      <c r="H118" s="61" t="s">
        <v>190</v>
      </c>
      <c r="I118" s="288">
        <v>352243.08</v>
      </c>
      <c r="J118" s="3"/>
      <c r="K118" s="4">
        <f t="shared" si="39"/>
        <v>351843.08</v>
      </c>
      <c r="L118" s="2">
        <f t="shared" si="42"/>
        <v>503332.58185000008</v>
      </c>
      <c r="M118" s="2">
        <f t="shared" si="40"/>
        <v>151489.50185000006</v>
      </c>
      <c r="N118" s="18">
        <f t="shared" si="41"/>
        <v>0.43055984460458924</v>
      </c>
      <c r="O118" s="5"/>
      <c r="P118" s="6"/>
      <c r="Q118" s="58"/>
      <c r="AB118" s="177" t="s">
        <v>205</v>
      </c>
      <c r="AC118" s="177" t="str">
        <f t="shared" si="35"/>
        <v>Forsker 7</v>
      </c>
      <c r="AD118" s="14">
        <f t="shared" si="37"/>
        <v>0.4</v>
      </c>
      <c r="AE118" s="177" t="str">
        <f t="shared" si="36"/>
        <v>Tekn./Adm. 7</v>
      </c>
      <c r="AF118" s="115">
        <f t="shared" si="38"/>
        <v>0.4</v>
      </c>
    </row>
    <row r="119" spans="8:32" x14ac:dyDescent="0.25">
      <c r="H119" s="61" t="s">
        <v>191</v>
      </c>
      <c r="I119" s="288">
        <v>356059.8</v>
      </c>
      <c r="J119" s="3"/>
      <c r="K119" s="4">
        <f t="shared" si="39"/>
        <v>355659.8</v>
      </c>
      <c r="L119" s="2">
        <f t="shared" si="42"/>
        <v>508776.17875000002</v>
      </c>
      <c r="M119" s="2">
        <f t="shared" si="40"/>
        <v>153116.37875000003</v>
      </c>
      <c r="N119" s="18">
        <f t="shared" si="41"/>
        <v>0.43051359403002543</v>
      </c>
      <c r="O119" s="5"/>
      <c r="P119" s="6"/>
      <c r="Q119" s="58"/>
      <c r="AB119" s="177" t="s">
        <v>206</v>
      </c>
      <c r="AC119" s="177" t="str">
        <f t="shared" si="35"/>
        <v>Forsker 7</v>
      </c>
      <c r="AD119" s="14">
        <f t="shared" si="37"/>
        <v>0.4</v>
      </c>
      <c r="AE119" s="177" t="str">
        <f t="shared" si="36"/>
        <v>Tekn./Adm. 7</v>
      </c>
      <c r="AF119" s="115">
        <f t="shared" si="38"/>
        <v>0.4</v>
      </c>
    </row>
    <row r="120" spans="8:32" x14ac:dyDescent="0.25">
      <c r="H120" s="61" t="s">
        <v>192</v>
      </c>
      <c r="I120" s="288">
        <v>360278.28</v>
      </c>
      <c r="J120" s="3"/>
      <c r="K120" s="4">
        <f t="shared" si="39"/>
        <v>359878.28</v>
      </c>
      <c r="L120" s="2">
        <f t="shared" si="42"/>
        <v>514792.7858500001</v>
      </c>
      <c r="M120" s="2">
        <f t="shared" si="40"/>
        <v>154914.50585000007</v>
      </c>
      <c r="N120" s="18">
        <f t="shared" si="41"/>
        <v>0.4304636163371684</v>
      </c>
      <c r="O120" s="5"/>
      <c r="P120" s="6"/>
      <c r="Q120" s="58"/>
      <c r="AB120" s="177" t="s">
        <v>207</v>
      </c>
      <c r="AC120" s="177" t="str">
        <f t="shared" si="35"/>
        <v>Forsker 7</v>
      </c>
      <c r="AD120" s="14">
        <f t="shared" si="37"/>
        <v>0.4</v>
      </c>
      <c r="AE120" s="177" t="str">
        <f t="shared" si="36"/>
        <v>Tekn./Adm. 7</v>
      </c>
      <c r="AF120" s="115">
        <f t="shared" si="38"/>
        <v>0.4</v>
      </c>
    </row>
    <row r="121" spans="8:32" x14ac:dyDescent="0.25">
      <c r="H121" s="61" t="s">
        <v>193</v>
      </c>
      <c r="I121" s="288">
        <v>364396.32</v>
      </c>
      <c r="J121" s="3"/>
      <c r="K121" s="4">
        <f t="shared" si="39"/>
        <v>363996.32</v>
      </c>
      <c r="L121" s="2">
        <f t="shared" si="42"/>
        <v>520666.14040000003</v>
      </c>
      <c r="M121" s="2">
        <f t="shared" si="40"/>
        <v>156669.82040000003</v>
      </c>
      <c r="N121" s="18">
        <f t="shared" si="41"/>
        <v>0.43041594596340982</v>
      </c>
      <c r="O121" s="5"/>
      <c r="P121" s="6"/>
      <c r="Q121" s="58"/>
      <c r="AB121" s="177" t="s">
        <v>208</v>
      </c>
      <c r="AC121" s="177" t="str">
        <f t="shared" si="35"/>
        <v>Forsker 7</v>
      </c>
      <c r="AD121" s="14">
        <f t="shared" si="37"/>
        <v>0.4</v>
      </c>
      <c r="AE121" s="177" t="str">
        <f t="shared" si="36"/>
        <v>Tekn./Adm. 7</v>
      </c>
      <c r="AF121" s="115">
        <f t="shared" si="38"/>
        <v>0.4</v>
      </c>
    </row>
    <row r="122" spans="8:32" x14ac:dyDescent="0.25">
      <c r="H122" s="61" t="s">
        <v>194</v>
      </c>
      <c r="I122" s="288">
        <v>368715.24</v>
      </c>
      <c r="J122" s="3"/>
      <c r="K122" s="4">
        <f t="shared" si="39"/>
        <v>368315.24</v>
      </c>
      <c r="L122" s="2">
        <f t="shared" si="42"/>
        <v>526826.00005000003</v>
      </c>
      <c r="M122" s="2">
        <f t="shared" si="40"/>
        <v>158510.76005000004</v>
      </c>
      <c r="N122" s="18">
        <f t="shared" si="41"/>
        <v>0.43036709545334056</v>
      </c>
      <c r="O122" s="5"/>
      <c r="P122" s="6"/>
      <c r="Q122" s="58"/>
      <c r="AB122" s="177" t="s">
        <v>209</v>
      </c>
      <c r="AC122" s="177" t="str">
        <f t="shared" si="35"/>
        <v>Forsker 6</v>
      </c>
      <c r="AD122" s="14">
        <f t="shared" si="37"/>
        <v>0.4</v>
      </c>
      <c r="AE122" s="177" t="str">
        <f t="shared" si="36"/>
        <v>Tekn./Adm. 6</v>
      </c>
      <c r="AF122" s="115">
        <f t="shared" si="38"/>
        <v>0.4</v>
      </c>
    </row>
    <row r="123" spans="8:32" x14ac:dyDescent="0.25">
      <c r="H123" s="61" t="s">
        <v>195</v>
      </c>
      <c r="I123" s="288">
        <v>373435.92</v>
      </c>
      <c r="J123" s="3"/>
      <c r="K123" s="4">
        <f t="shared" si="39"/>
        <v>373035.92</v>
      </c>
      <c r="L123" s="2">
        <f t="shared" si="42"/>
        <v>533558.86990000005</v>
      </c>
      <c r="M123" s="2">
        <f t="shared" si="40"/>
        <v>160522.94990000007</v>
      </c>
      <c r="N123" s="18">
        <f t="shared" si="41"/>
        <v>0.43031499459891176</v>
      </c>
      <c r="O123" s="5"/>
      <c r="P123" s="6"/>
      <c r="Q123" s="58"/>
      <c r="AB123" s="177" t="s">
        <v>210</v>
      </c>
      <c r="AC123" s="177" t="str">
        <f t="shared" si="35"/>
        <v>Forsker 6</v>
      </c>
      <c r="AD123" s="14">
        <f t="shared" si="37"/>
        <v>0.4</v>
      </c>
      <c r="AE123" s="177" t="str">
        <f t="shared" si="36"/>
        <v>Tekn./Adm. 6</v>
      </c>
      <c r="AF123" s="115">
        <f t="shared" si="38"/>
        <v>0.4</v>
      </c>
    </row>
    <row r="124" spans="8:32" x14ac:dyDescent="0.25">
      <c r="H124" s="61" t="s">
        <v>196</v>
      </c>
      <c r="I124" s="288">
        <v>378156.6</v>
      </c>
      <c r="J124" s="3"/>
      <c r="K124" s="4">
        <f t="shared" si="39"/>
        <v>377756.6</v>
      </c>
      <c r="L124" s="2">
        <f t="shared" si="42"/>
        <v>540291.73974999995</v>
      </c>
      <c r="M124" s="2">
        <f t="shared" si="40"/>
        <v>162535.13974999997</v>
      </c>
      <c r="N124" s="18">
        <f t="shared" si="41"/>
        <v>0.43026419591345322</v>
      </c>
      <c r="O124" s="5"/>
      <c r="P124" s="6"/>
      <c r="Q124" s="58"/>
      <c r="AB124" s="177" t="s">
        <v>211</v>
      </c>
      <c r="AC124" s="177" t="str">
        <f t="shared" si="35"/>
        <v>Forsker 6</v>
      </c>
      <c r="AD124" s="14">
        <f t="shared" si="37"/>
        <v>0.4</v>
      </c>
      <c r="AE124" s="177" t="str">
        <f t="shared" si="36"/>
        <v>Tekn./Adm. 6</v>
      </c>
      <c r="AF124" s="115">
        <f t="shared" si="38"/>
        <v>0.4</v>
      </c>
    </row>
    <row r="125" spans="8:32" x14ac:dyDescent="0.25">
      <c r="H125" s="61" t="s">
        <v>197</v>
      </c>
      <c r="I125" s="288">
        <v>382877.28</v>
      </c>
      <c r="J125" s="3"/>
      <c r="K125" s="4">
        <f t="shared" si="39"/>
        <v>382477.28</v>
      </c>
      <c r="L125" s="2">
        <f t="shared" si="42"/>
        <v>547024.60960000008</v>
      </c>
      <c r="M125" s="2">
        <f t="shared" si="40"/>
        <v>164547.32960000006</v>
      </c>
      <c r="N125" s="18">
        <f t="shared" si="41"/>
        <v>0.43021465118137225</v>
      </c>
      <c r="O125" s="5"/>
      <c r="P125" s="6"/>
      <c r="Q125" s="58"/>
      <c r="AB125" s="177" t="s">
        <v>212</v>
      </c>
      <c r="AC125" s="177" t="str">
        <f t="shared" si="35"/>
        <v>Forsker 6</v>
      </c>
      <c r="AD125" s="14">
        <f t="shared" si="37"/>
        <v>0.4</v>
      </c>
      <c r="AE125" s="177" t="str">
        <f t="shared" si="36"/>
        <v>Tekn./Adm. 6</v>
      </c>
      <c r="AF125" s="115">
        <f t="shared" si="38"/>
        <v>0.4</v>
      </c>
    </row>
    <row r="126" spans="8:32" x14ac:dyDescent="0.25">
      <c r="H126" s="61" t="s">
        <v>198</v>
      </c>
      <c r="I126" s="288">
        <v>387899.28</v>
      </c>
      <c r="J126" s="3"/>
      <c r="K126" s="4">
        <f t="shared" si="39"/>
        <v>387499.28</v>
      </c>
      <c r="L126" s="2">
        <f t="shared" si="42"/>
        <v>554187.23710000014</v>
      </c>
      <c r="M126" s="2">
        <f t="shared" si="40"/>
        <v>166687.95710000012</v>
      </c>
      <c r="N126" s="18">
        <f t="shared" si="41"/>
        <v>0.43016326920659081</v>
      </c>
      <c r="O126" s="5"/>
      <c r="P126" s="6"/>
      <c r="Q126" s="58"/>
      <c r="AB126" s="177" t="s">
        <v>213</v>
      </c>
      <c r="AC126" s="177" t="str">
        <f t="shared" si="35"/>
        <v>Forsker 6</v>
      </c>
      <c r="AD126" s="14">
        <f t="shared" si="37"/>
        <v>0.4</v>
      </c>
      <c r="AE126" s="177" t="str">
        <f t="shared" si="36"/>
        <v>Tekn./Adm. 6</v>
      </c>
      <c r="AF126" s="115">
        <f t="shared" si="38"/>
        <v>0.4</v>
      </c>
    </row>
    <row r="127" spans="8:32" x14ac:dyDescent="0.25">
      <c r="H127" s="61" t="s">
        <v>199</v>
      </c>
      <c r="I127" s="288">
        <v>393021.72</v>
      </c>
      <c r="J127" s="3"/>
      <c r="K127" s="4">
        <f t="shared" si="39"/>
        <v>392621.72</v>
      </c>
      <c r="L127" s="2">
        <f t="shared" si="42"/>
        <v>561493.11715000006</v>
      </c>
      <c r="M127" s="2">
        <f t="shared" si="40"/>
        <v>168871.39715000009</v>
      </c>
      <c r="N127" s="18">
        <f t="shared" si="41"/>
        <v>0.43011221373590869</v>
      </c>
      <c r="O127" s="5"/>
      <c r="P127" s="6"/>
      <c r="Q127" s="58"/>
      <c r="AB127" s="177" t="s">
        <v>214</v>
      </c>
      <c r="AC127" s="177" t="str">
        <f t="shared" si="35"/>
        <v>Forsker 6</v>
      </c>
      <c r="AD127" s="14">
        <f t="shared" si="37"/>
        <v>0.4</v>
      </c>
      <c r="AE127" s="177" t="str">
        <f t="shared" si="36"/>
        <v>Tekn./Adm. 6</v>
      </c>
      <c r="AF127" s="115">
        <f t="shared" si="38"/>
        <v>0.4</v>
      </c>
    </row>
    <row r="128" spans="8:32" x14ac:dyDescent="0.25">
      <c r="H128" s="61" t="s">
        <v>200</v>
      </c>
      <c r="I128" s="288">
        <v>398847.24</v>
      </c>
      <c r="J128" s="3"/>
      <c r="K128" s="4">
        <f t="shared" si="39"/>
        <v>398447.24</v>
      </c>
      <c r="L128" s="2">
        <f t="shared" si="42"/>
        <v>569801.76505000005</v>
      </c>
      <c r="M128" s="2">
        <f t="shared" si="40"/>
        <v>171354.52505000005</v>
      </c>
      <c r="N128" s="18">
        <f t="shared" si="41"/>
        <v>0.43005574602549651</v>
      </c>
      <c r="O128" s="5"/>
      <c r="P128" s="6"/>
      <c r="Q128" s="58"/>
      <c r="AB128" s="177" t="s">
        <v>215</v>
      </c>
      <c r="AC128" s="177" t="str">
        <f t="shared" si="35"/>
        <v>Forsker 6</v>
      </c>
      <c r="AD128" s="14">
        <f t="shared" si="37"/>
        <v>0.4</v>
      </c>
      <c r="AE128" s="177" t="str">
        <f t="shared" si="36"/>
        <v>Tekn./Adm. 6</v>
      </c>
      <c r="AF128" s="115">
        <f t="shared" si="38"/>
        <v>0.4</v>
      </c>
    </row>
    <row r="129" spans="8:32" x14ac:dyDescent="0.25">
      <c r="H129" s="61" t="s">
        <v>201</v>
      </c>
      <c r="I129" s="288">
        <v>404371.44</v>
      </c>
      <c r="J129" s="3"/>
      <c r="K129" s="4">
        <f t="shared" si="39"/>
        <v>403971.44</v>
      </c>
      <c r="L129" s="2">
        <f t="shared" si="42"/>
        <v>577680.6553000001</v>
      </c>
      <c r="M129" s="2">
        <f t="shared" si="40"/>
        <v>173709.2153000001</v>
      </c>
      <c r="N129" s="18">
        <f t="shared" si="41"/>
        <v>0.43000370347963235</v>
      </c>
      <c r="O129" s="5"/>
      <c r="P129" s="6"/>
      <c r="Q129" s="58"/>
      <c r="AB129" s="177" t="s">
        <v>216</v>
      </c>
      <c r="AC129" s="177" t="str">
        <f t="shared" si="35"/>
        <v>Forsker 6</v>
      </c>
      <c r="AD129" s="14">
        <f t="shared" si="37"/>
        <v>0.4</v>
      </c>
      <c r="AE129" s="177" t="str">
        <f t="shared" si="36"/>
        <v>Tekn./Adm. 6</v>
      </c>
      <c r="AF129" s="115">
        <f t="shared" si="38"/>
        <v>0.4</v>
      </c>
    </row>
    <row r="130" spans="8:32" x14ac:dyDescent="0.25">
      <c r="H130" s="61" t="s">
        <v>202</v>
      </c>
      <c r="I130" s="288">
        <v>410397.84</v>
      </c>
      <c r="J130" s="3"/>
      <c r="K130" s="4">
        <f t="shared" si="39"/>
        <v>409997.84</v>
      </c>
      <c r="L130" s="2">
        <f t="shared" si="42"/>
        <v>586275.80830000003</v>
      </c>
      <c r="M130" s="2">
        <f t="shared" si="40"/>
        <v>176277.96830000001</v>
      </c>
      <c r="N130" s="18">
        <f t="shared" si="41"/>
        <v>0.42994852924103211</v>
      </c>
      <c r="O130" s="5"/>
      <c r="P130" s="6"/>
      <c r="Q130" s="58"/>
      <c r="AB130" s="177" t="s">
        <v>217</v>
      </c>
      <c r="AC130" s="177" t="str">
        <f t="shared" si="35"/>
        <v>Forsker 6</v>
      </c>
      <c r="AD130" s="14">
        <f t="shared" si="37"/>
        <v>0.4</v>
      </c>
      <c r="AE130" s="177" t="str">
        <f t="shared" si="36"/>
        <v>Tekn./Adm. 6</v>
      </c>
      <c r="AF130" s="115">
        <f t="shared" si="38"/>
        <v>0.4</v>
      </c>
    </row>
    <row r="131" spans="8:32" x14ac:dyDescent="0.25">
      <c r="H131" s="61" t="s">
        <v>203</v>
      </c>
      <c r="I131" s="288">
        <v>416424.24</v>
      </c>
      <c r="J131" s="3"/>
      <c r="K131" s="4">
        <f t="shared" si="39"/>
        <v>416024.24</v>
      </c>
      <c r="L131" s="2">
        <f t="shared" si="42"/>
        <v>594870.96130000008</v>
      </c>
      <c r="M131" s="2">
        <f t="shared" si="40"/>
        <v>178846.72130000009</v>
      </c>
      <c r="N131" s="18">
        <f t="shared" si="41"/>
        <v>0.42989495347674955</v>
      </c>
      <c r="O131" s="5"/>
      <c r="P131" s="6"/>
      <c r="Q131" s="58"/>
      <c r="AB131" s="177" t="s">
        <v>218</v>
      </c>
      <c r="AC131" s="177" t="str">
        <f t="shared" si="35"/>
        <v>Forsker 5</v>
      </c>
      <c r="AD131" s="14">
        <f t="shared" si="37"/>
        <v>0.4</v>
      </c>
      <c r="AE131" s="177" t="str">
        <f t="shared" si="36"/>
        <v>Tekn./Adm. 5</v>
      </c>
      <c r="AF131" s="115">
        <f t="shared" si="38"/>
        <v>0.4</v>
      </c>
    </row>
    <row r="132" spans="8:32" x14ac:dyDescent="0.25">
      <c r="H132" s="61" t="s">
        <v>204</v>
      </c>
      <c r="I132" s="288">
        <v>422551.08</v>
      </c>
      <c r="J132" s="3"/>
      <c r="K132" s="4">
        <f t="shared" si="39"/>
        <v>422151.08</v>
      </c>
      <c r="L132" s="2">
        <f t="shared" si="42"/>
        <v>603609.36685000011</v>
      </c>
      <c r="M132" s="2">
        <f t="shared" si="40"/>
        <v>181458.28685000009</v>
      </c>
      <c r="N132" s="18">
        <f t="shared" si="41"/>
        <v>0.42984205287358279</v>
      </c>
      <c r="O132" s="5"/>
      <c r="P132" s="6"/>
      <c r="Q132" s="58"/>
      <c r="AB132" s="177" t="s">
        <v>219</v>
      </c>
      <c r="AC132" s="177" t="str">
        <f t="shared" si="35"/>
        <v>Forsker 5</v>
      </c>
      <c r="AD132" s="14">
        <f t="shared" si="37"/>
        <v>0.4</v>
      </c>
      <c r="AE132" s="177" t="str">
        <f t="shared" si="36"/>
        <v>Tekn./Adm. 5</v>
      </c>
      <c r="AF132" s="115">
        <f t="shared" si="38"/>
        <v>0.4</v>
      </c>
    </row>
    <row r="133" spans="8:32" x14ac:dyDescent="0.25">
      <c r="H133" s="61" t="s">
        <v>205</v>
      </c>
      <c r="I133" s="288">
        <v>430512.28</v>
      </c>
      <c r="J133" s="3"/>
      <c r="K133" s="4">
        <f t="shared" si="39"/>
        <v>430112.28</v>
      </c>
      <c r="L133" s="2">
        <f t="shared" si="42"/>
        <v>614964.02835000015</v>
      </c>
      <c r="M133" s="2">
        <f t="shared" si="40"/>
        <v>184851.74835000013</v>
      </c>
      <c r="N133" s="18">
        <f t="shared" ref="N133:N187" si="43">M133/K133</f>
        <v>0.42977556546397633</v>
      </c>
      <c r="O133" s="5"/>
      <c r="P133" s="6"/>
      <c r="Q133" s="58"/>
      <c r="AB133" s="177" t="s">
        <v>220</v>
      </c>
      <c r="AC133" s="177" t="str">
        <f t="shared" si="35"/>
        <v>Forsker 5</v>
      </c>
      <c r="AD133" s="14">
        <f t="shared" si="37"/>
        <v>0.4</v>
      </c>
      <c r="AE133" s="177" t="str">
        <f t="shared" si="36"/>
        <v>Tekn./Adm. 5</v>
      </c>
      <c r="AF133" s="115">
        <f t="shared" si="38"/>
        <v>0.4</v>
      </c>
    </row>
    <row r="134" spans="8:32" x14ac:dyDescent="0.25">
      <c r="H134" s="61" t="s">
        <v>206</v>
      </c>
      <c r="I134" s="288">
        <v>437449.54</v>
      </c>
      <c r="J134" s="3"/>
      <c r="K134" s="4">
        <f t="shared" si="39"/>
        <v>437049.54</v>
      </c>
      <c r="L134" s="2">
        <f t="shared" si="42"/>
        <v>624858.29542500002</v>
      </c>
      <c r="M134" s="2">
        <f t="shared" ref="M134:M187" si="44">L134-K134</f>
        <v>187808.75542500004</v>
      </c>
      <c r="N134" s="18">
        <f t="shared" si="43"/>
        <v>0.4297196043839791</v>
      </c>
      <c r="O134" s="5"/>
      <c r="P134" s="6"/>
      <c r="Q134" s="58"/>
      <c r="AB134" s="177" t="s">
        <v>221</v>
      </c>
      <c r="AC134" s="177" t="str">
        <f t="shared" si="35"/>
        <v>Forsker 5</v>
      </c>
      <c r="AD134" s="14">
        <f t="shared" si="37"/>
        <v>0.4</v>
      </c>
      <c r="AE134" s="177" t="str">
        <f t="shared" si="36"/>
        <v>Tekn./Adm. 5</v>
      </c>
      <c r="AF134" s="115">
        <f t="shared" si="38"/>
        <v>0.4</v>
      </c>
    </row>
    <row r="135" spans="8:32" x14ac:dyDescent="0.25">
      <c r="H135" s="61" t="s">
        <v>207</v>
      </c>
      <c r="I135" s="288">
        <v>444688.42</v>
      </c>
      <c r="J135" s="3"/>
      <c r="K135" s="4">
        <f t="shared" si="39"/>
        <v>444288.42</v>
      </c>
      <c r="L135" s="2">
        <f t="shared" si="42"/>
        <v>635182.74802499998</v>
      </c>
      <c r="M135" s="2">
        <f t="shared" si="44"/>
        <v>190894.328025</v>
      </c>
      <c r="N135" s="18">
        <f t="shared" si="43"/>
        <v>0.42966307342649174</v>
      </c>
      <c r="O135" s="5"/>
      <c r="P135" s="6"/>
      <c r="Q135" s="58"/>
      <c r="AB135" s="177" t="s">
        <v>222</v>
      </c>
      <c r="AC135" s="177" t="str">
        <f t="shared" si="35"/>
        <v>Forsker 5</v>
      </c>
      <c r="AD135" s="14">
        <f t="shared" si="37"/>
        <v>0.4</v>
      </c>
      <c r="AE135" s="177" t="str">
        <f t="shared" si="36"/>
        <v>Tekn./Adm. 5</v>
      </c>
      <c r="AF135" s="115">
        <f t="shared" si="38"/>
        <v>0.4</v>
      </c>
    </row>
    <row r="136" spans="8:32" x14ac:dyDescent="0.25">
      <c r="H136" s="61" t="s">
        <v>208</v>
      </c>
      <c r="I136" s="288">
        <v>451726.22</v>
      </c>
      <c r="J136" s="3"/>
      <c r="K136" s="4">
        <f t="shared" si="39"/>
        <v>451326.22</v>
      </c>
      <c r="L136" s="2">
        <f t="shared" si="42"/>
        <v>645220.41027500003</v>
      </c>
      <c r="M136" s="2">
        <f t="shared" si="44"/>
        <v>193894.19027500006</v>
      </c>
      <c r="N136" s="18">
        <f t="shared" si="43"/>
        <v>0.4296098513288239</v>
      </c>
      <c r="O136" s="5"/>
      <c r="P136" s="6"/>
      <c r="Q136" s="58"/>
      <c r="AB136" s="177" t="s">
        <v>223</v>
      </c>
      <c r="AC136" s="177" t="str">
        <f t="shared" si="35"/>
        <v>Forsker 5</v>
      </c>
      <c r="AD136" s="14">
        <f t="shared" si="37"/>
        <v>0.4</v>
      </c>
      <c r="AE136" s="177" t="str">
        <f t="shared" si="36"/>
        <v>Tekn./Adm. 5</v>
      </c>
      <c r="AF136" s="115">
        <f t="shared" si="38"/>
        <v>0.4</v>
      </c>
    </row>
    <row r="137" spans="8:32" x14ac:dyDescent="0.25">
      <c r="H137" s="61" t="s">
        <v>209</v>
      </c>
      <c r="I137" s="288">
        <v>458864.56</v>
      </c>
      <c r="J137" s="3"/>
      <c r="K137" s="4">
        <f t="shared" si="39"/>
        <v>458464.56</v>
      </c>
      <c r="L137" s="2">
        <f t="shared" si="42"/>
        <v>655401.46770000004</v>
      </c>
      <c r="M137" s="2">
        <f t="shared" si="44"/>
        <v>196936.90770000004</v>
      </c>
      <c r="N137" s="18">
        <f t="shared" si="43"/>
        <v>0.429557538100655</v>
      </c>
      <c r="O137" s="5"/>
      <c r="P137" s="6"/>
      <c r="Q137" s="58"/>
      <c r="AB137" s="177" t="s">
        <v>224</v>
      </c>
      <c r="AC137" s="177" t="str">
        <f t="shared" si="35"/>
        <v>Forsker 4</v>
      </c>
      <c r="AD137" s="14">
        <f t="shared" si="37"/>
        <v>0.4</v>
      </c>
      <c r="AE137" s="177" t="str">
        <f t="shared" si="36"/>
        <v>Tekn./Adm. 4</v>
      </c>
      <c r="AF137" s="115">
        <f t="shared" si="38"/>
        <v>0.4</v>
      </c>
    </row>
    <row r="138" spans="8:32" x14ac:dyDescent="0.25">
      <c r="H138" s="61" t="s">
        <v>210</v>
      </c>
      <c r="I138" s="288">
        <v>466505.6</v>
      </c>
      <c r="J138" s="3"/>
      <c r="K138" s="4">
        <f t="shared" si="39"/>
        <v>466105.59999999998</v>
      </c>
      <c r="L138" s="2">
        <f t="shared" si="42"/>
        <v>666299.50100000005</v>
      </c>
      <c r="M138" s="2">
        <f t="shared" si="44"/>
        <v>200193.90100000007</v>
      </c>
      <c r="N138" s="18">
        <f t="shared" si="43"/>
        <v>0.42950331641585099</v>
      </c>
      <c r="O138" s="5"/>
      <c r="P138" s="6"/>
      <c r="Q138" s="58"/>
      <c r="AB138" s="177" t="s">
        <v>225</v>
      </c>
      <c r="AC138" s="177" t="str">
        <f t="shared" si="35"/>
        <v>Forsker 4</v>
      </c>
      <c r="AD138" s="14">
        <f t="shared" si="37"/>
        <v>0.4</v>
      </c>
      <c r="AE138" s="177" t="str">
        <f t="shared" si="36"/>
        <v>Tekn./Adm. 4</v>
      </c>
      <c r="AF138" s="115">
        <f t="shared" si="38"/>
        <v>0.4</v>
      </c>
    </row>
    <row r="139" spans="8:32" x14ac:dyDescent="0.25">
      <c r="H139" s="61" t="s">
        <v>211</v>
      </c>
      <c r="I139" s="288">
        <v>474548.8</v>
      </c>
      <c r="J139" s="3"/>
      <c r="K139" s="4">
        <f t="shared" si="39"/>
        <v>474148.8</v>
      </c>
      <c r="L139" s="2">
        <f t="shared" si="42"/>
        <v>677771.11500000011</v>
      </c>
      <c r="M139" s="2">
        <f t="shared" si="44"/>
        <v>203622.31500000012</v>
      </c>
      <c r="N139" s="18">
        <f t="shared" si="43"/>
        <v>0.42944812894180079</v>
      </c>
      <c r="O139" s="5"/>
      <c r="P139" s="6"/>
      <c r="Q139" s="58"/>
      <c r="AB139" s="177" t="s">
        <v>226</v>
      </c>
      <c r="AC139" s="177" t="str">
        <f t="shared" si="35"/>
        <v>Forsker 4</v>
      </c>
      <c r="AD139" s="14">
        <f t="shared" si="37"/>
        <v>0.4</v>
      </c>
      <c r="AE139" s="177" t="str">
        <f t="shared" si="36"/>
        <v>Tekn./Adm. 4</v>
      </c>
      <c r="AF139" s="115">
        <f t="shared" si="38"/>
        <v>0.4</v>
      </c>
    </row>
    <row r="140" spans="8:32" x14ac:dyDescent="0.25">
      <c r="H140" s="61" t="s">
        <v>212</v>
      </c>
      <c r="I140" s="288">
        <v>482189.84</v>
      </c>
      <c r="J140" s="3"/>
      <c r="K140" s="4">
        <f t="shared" si="39"/>
        <v>481789.84</v>
      </c>
      <c r="L140" s="2">
        <f t="shared" si="42"/>
        <v>688669.14830000012</v>
      </c>
      <c r="M140" s="2">
        <f t="shared" si="44"/>
        <v>206879.30830000009</v>
      </c>
      <c r="N140" s="18">
        <f t="shared" si="43"/>
        <v>0.42939740759165879</v>
      </c>
      <c r="O140" s="5"/>
      <c r="P140" s="6"/>
      <c r="Q140" s="58"/>
      <c r="AB140" s="177" t="s">
        <v>227</v>
      </c>
      <c r="AC140" s="177" t="str">
        <f t="shared" si="35"/>
        <v>Forsker 4</v>
      </c>
      <c r="AD140" s="14">
        <f t="shared" si="37"/>
        <v>0.4</v>
      </c>
      <c r="AE140" s="177" t="str">
        <f t="shared" si="36"/>
        <v>Tekn./Adm. 4</v>
      </c>
      <c r="AF140" s="115">
        <f t="shared" si="38"/>
        <v>0.4</v>
      </c>
    </row>
    <row r="141" spans="8:32" x14ac:dyDescent="0.25">
      <c r="H141" s="61" t="s">
        <v>213</v>
      </c>
      <c r="I141" s="288">
        <v>490635.2</v>
      </c>
      <c r="J141" s="3"/>
      <c r="K141" s="4">
        <f t="shared" si="39"/>
        <v>490235.2</v>
      </c>
      <c r="L141" s="2">
        <f t="shared" si="42"/>
        <v>700714.34300000011</v>
      </c>
      <c r="M141" s="2">
        <f t="shared" si="44"/>
        <v>210479.1430000001</v>
      </c>
      <c r="N141" s="18">
        <f t="shared" si="43"/>
        <v>0.4293431866989561</v>
      </c>
      <c r="O141" s="5"/>
      <c r="P141" s="6"/>
      <c r="Q141" s="58"/>
      <c r="AB141" s="177" t="s">
        <v>228</v>
      </c>
      <c r="AC141" s="177" t="str">
        <f t="shared" si="35"/>
        <v>Forsker 4</v>
      </c>
      <c r="AD141" s="14">
        <f t="shared" si="37"/>
        <v>0.4</v>
      </c>
      <c r="AE141" s="177" t="str">
        <f t="shared" si="36"/>
        <v>Tekn./Adm. 4</v>
      </c>
      <c r="AF141" s="115">
        <f t="shared" si="38"/>
        <v>0.4</v>
      </c>
    </row>
    <row r="142" spans="8:32" x14ac:dyDescent="0.25">
      <c r="H142" s="61" t="s">
        <v>214</v>
      </c>
      <c r="I142" s="288">
        <v>498778.94</v>
      </c>
      <c r="J142" s="3"/>
      <c r="K142" s="4">
        <f t="shared" si="39"/>
        <v>498378.94</v>
      </c>
      <c r="L142" s="2">
        <f t="shared" si="42"/>
        <v>712329.35217500001</v>
      </c>
      <c r="M142" s="2">
        <f t="shared" si="44"/>
        <v>213950.412175</v>
      </c>
      <c r="N142" s="18">
        <f t="shared" si="43"/>
        <v>0.42929264261246675</v>
      </c>
      <c r="O142" s="5"/>
      <c r="P142" s="6"/>
      <c r="Q142" s="58"/>
      <c r="AB142" s="177" t="s">
        <v>229</v>
      </c>
      <c r="AC142" s="177" t="str">
        <f t="shared" si="35"/>
        <v>Forsker 4</v>
      </c>
      <c r="AD142" s="14">
        <f t="shared" si="37"/>
        <v>0.4</v>
      </c>
      <c r="AE142" s="177" t="str">
        <f t="shared" si="36"/>
        <v>Tekn./Adm. 4</v>
      </c>
      <c r="AF142" s="115">
        <f t="shared" si="38"/>
        <v>0.4</v>
      </c>
    </row>
    <row r="143" spans="8:32" x14ac:dyDescent="0.25">
      <c r="H143" s="61" t="s">
        <v>215</v>
      </c>
      <c r="I143" s="288">
        <v>507425.38</v>
      </c>
      <c r="J143" s="3"/>
      <c r="K143" s="4">
        <f t="shared" si="39"/>
        <v>507025.38</v>
      </c>
      <c r="L143" s="2">
        <f t="shared" si="42"/>
        <v>724661.33722500014</v>
      </c>
      <c r="M143" s="2">
        <f t="shared" si="44"/>
        <v>217635.95722500014</v>
      </c>
      <c r="N143" s="18">
        <f t="shared" si="43"/>
        <v>0.42924075561069575</v>
      </c>
      <c r="O143" s="5"/>
      <c r="P143" s="6"/>
      <c r="Q143" s="58"/>
      <c r="AB143" s="177" t="s">
        <v>230</v>
      </c>
      <c r="AC143" s="177" t="str">
        <f t="shared" si="35"/>
        <v>Forsker 4</v>
      </c>
      <c r="AD143" s="14">
        <f t="shared" si="37"/>
        <v>0.4</v>
      </c>
      <c r="AE143" s="177" t="str">
        <f t="shared" si="36"/>
        <v>Tekn./Adm. 4</v>
      </c>
      <c r="AF143" s="115">
        <f t="shared" si="38"/>
        <v>0.4</v>
      </c>
    </row>
    <row r="144" spans="8:32" x14ac:dyDescent="0.25">
      <c r="H144" s="61" t="s">
        <v>216</v>
      </c>
      <c r="I144" s="288">
        <v>516373.44</v>
      </c>
      <c r="J144" s="3"/>
      <c r="K144" s="4">
        <f t="shared" si="39"/>
        <v>515973.44</v>
      </c>
      <c r="L144" s="2">
        <f t="shared" si="42"/>
        <v>737423.50780000002</v>
      </c>
      <c r="M144" s="2">
        <f t="shared" si="44"/>
        <v>221450.06780000002</v>
      </c>
      <c r="N144" s="18">
        <f t="shared" si="43"/>
        <v>0.42918888964517249</v>
      </c>
      <c r="O144" s="5"/>
      <c r="P144" s="6"/>
      <c r="Q144" s="58"/>
      <c r="AB144" s="177" t="s">
        <v>231</v>
      </c>
      <c r="AC144" s="177" t="str">
        <f t="shared" si="35"/>
        <v>Forsker 3</v>
      </c>
      <c r="AD144" s="14">
        <f t="shared" si="37"/>
        <v>0.4</v>
      </c>
      <c r="AE144" s="177" t="str">
        <f t="shared" si="36"/>
        <v>Tekn./Adm. 3</v>
      </c>
      <c r="AF144" s="115">
        <f t="shared" si="38"/>
        <v>0.4</v>
      </c>
    </row>
    <row r="145" spans="8:32" x14ac:dyDescent="0.25">
      <c r="H145" s="61" t="s">
        <v>217</v>
      </c>
      <c r="I145" s="288">
        <v>526025.28</v>
      </c>
      <c r="J145" s="3"/>
      <c r="K145" s="4">
        <f t="shared" si="39"/>
        <v>525625.28</v>
      </c>
      <c r="L145" s="2">
        <f t="shared" si="42"/>
        <v>751189.44460000016</v>
      </c>
      <c r="M145" s="2">
        <f t="shared" si="44"/>
        <v>225564.16460000013</v>
      </c>
      <c r="N145" s="18">
        <f t="shared" si="43"/>
        <v>0.4291349240280074</v>
      </c>
      <c r="O145" s="5"/>
      <c r="P145" s="6"/>
      <c r="Q145" s="58"/>
      <c r="AB145" s="177" t="s">
        <v>232</v>
      </c>
      <c r="AC145" s="177" t="str">
        <f t="shared" si="35"/>
        <v>Forsker 3</v>
      </c>
      <c r="AD145" s="14">
        <f t="shared" si="37"/>
        <v>0.4</v>
      </c>
      <c r="AE145" s="177" t="str">
        <f t="shared" si="36"/>
        <v>Tekn./Adm. 3</v>
      </c>
      <c r="AF145" s="115">
        <f t="shared" si="38"/>
        <v>0.4</v>
      </c>
    </row>
    <row r="146" spans="8:32" x14ac:dyDescent="0.25">
      <c r="H146" s="61" t="s">
        <v>218</v>
      </c>
      <c r="I146" s="288">
        <v>535174.42000000004</v>
      </c>
      <c r="J146" s="3"/>
      <c r="K146" s="4">
        <f t="shared" si="39"/>
        <v>534774.42000000004</v>
      </c>
      <c r="L146" s="2">
        <f t="shared" si="42"/>
        <v>764238.40552500018</v>
      </c>
      <c r="M146" s="2">
        <f t="shared" si="44"/>
        <v>229463.98552500014</v>
      </c>
      <c r="N146" s="18">
        <f t="shared" si="43"/>
        <v>0.42908556756510552</v>
      </c>
      <c r="O146" s="5"/>
      <c r="P146" s="6"/>
      <c r="Q146" s="58"/>
      <c r="AB146" s="177" t="s">
        <v>233</v>
      </c>
      <c r="AC146" s="177" t="str">
        <f t="shared" si="35"/>
        <v>Forsker 3</v>
      </c>
      <c r="AD146" s="14">
        <f t="shared" si="37"/>
        <v>0.4</v>
      </c>
      <c r="AE146" s="177" t="str">
        <f t="shared" si="36"/>
        <v>Tekn./Adm. 3</v>
      </c>
      <c r="AF146" s="115">
        <f t="shared" si="38"/>
        <v>0.4</v>
      </c>
    </row>
    <row r="147" spans="8:32" x14ac:dyDescent="0.25">
      <c r="H147" s="61" t="s">
        <v>219</v>
      </c>
      <c r="I147" s="288">
        <v>545328.96</v>
      </c>
      <c r="J147" s="3"/>
      <c r="K147" s="4">
        <f t="shared" si="39"/>
        <v>544928.96</v>
      </c>
      <c r="L147" s="2">
        <f t="shared" si="42"/>
        <v>778721.3182000001</v>
      </c>
      <c r="M147" s="2">
        <f t="shared" si="44"/>
        <v>233792.35820000013</v>
      </c>
      <c r="N147" s="18">
        <f t="shared" si="43"/>
        <v>0.42903272786236235</v>
      </c>
      <c r="O147" s="5"/>
      <c r="P147" s="6"/>
      <c r="Q147" s="58"/>
      <c r="AB147" s="177" t="s">
        <v>234</v>
      </c>
      <c r="AC147" s="177" t="str">
        <f t="shared" si="35"/>
        <v>Forsker 3</v>
      </c>
      <c r="AD147" s="14">
        <f t="shared" si="37"/>
        <v>0.4</v>
      </c>
      <c r="AE147" s="177" t="str">
        <f t="shared" si="36"/>
        <v>Tekn./Adm. 3</v>
      </c>
      <c r="AF147" s="115">
        <f t="shared" si="38"/>
        <v>0.4</v>
      </c>
    </row>
    <row r="148" spans="8:32" x14ac:dyDescent="0.25">
      <c r="H148" s="61" t="s">
        <v>220</v>
      </c>
      <c r="I148" s="288">
        <v>555785.12</v>
      </c>
      <c r="J148" s="3"/>
      <c r="K148" s="4">
        <f t="shared" si="39"/>
        <v>555385.12</v>
      </c>
      <c r="L148" s="2">
        <f t="shared" si="42"/>
        <v>793634.41639999999</v>
      </c>
      <c r="M148" s="2">
        <f t="shared" si="44"/>
        <v>238249.29639999999</v>
      </c>
      <c r="N148" s="18">
        <f t="shared" si="43"/>
        <v>0.428980337823959</v>
      </c>
      <c r="O148" s="5"/>
      <c r="P148" s="6"/>
      <c r="Q148" s="58"/>
      <c r="AB148" s="177" t="s">
        <v>235</v>
      </c>
      <c r="AC148" s="177" t="str">
        <f t="shared" si="35"/>
        <v>Forsker 3</v>
      </c>
      <c r="AD148" s="14">
        <f t="shared" si="37"/>
        <v>0.4</v>
      </c>
      <c r="AE148" s="177" t="str">
        <f t="shared" si="36"/>
        <v>Tekn./Adm. 3</v>
      </c>
      <c r="AF148" s="115">
        <f t="shared" si="38"/>
        <v>0.4</v>
      </c>
    </row>
    <row r="149" spans="8:32" x14ac:dyDescent="0.25">
      <c r="H149" s="61" t="s">
        <v>221</v>
      </c>
      <c r="I149" s="288">
        <v>566743.98</v>
      </c>
      <c r="J149" s="3"/>
      <c r="K149" s="4">
        <f t="shared" si="39"/>
        <v>566343.98</v>
      </c>
      <c r="L149" s="2">
        <f t="shared" si="42"/>
        <v>809264.490475</v>
      </c>
      <c r="M149" s="2">
        <f t="shared" si="44"/>
        <v>242920.51047500002</v>
      </c>
      <c r="N149" s="18">
        <f t="shared" si="43"/>
        <v>0.4289275052857453</v>
      </c>
      <c r="O149" s="5"/>
      <c r="P149" s="6"/>
      <c r="Q149" s="58"/>
      <c r="AB149" s="177" t="s">
        <v>236</v>
      </c>
      <c r="AC149" s="177" t="str">
        <f t="shared" si="35"/>
        <v>Forsker 3</v>
      </c>
      <c r="AD149" s="14">
        <f t="shared" si="37"/>
        <v>0.4</v>
      </c>
      <c r="AE149" s="177" t="str">
        <f t="shared" si="36"/>
        <v>Tekn./Adm. 3</v>
      </c>
      <c r="AF149" s="115">
        <f t="shared" si="38"/>
        <v>0.4</v>
      </c>
    </row>
    <row r="150" spans="8:32" x14ac:dyDescent="0.25">
      <c r="H150" s="61" t="s">
        <v>222</v>
      </c>
      <c r="I150" s="288">
        <v>575621.64</v>
      </c>
      <c r="J150" s="3"/>
      <c r="K150" s="4">
        <f t="shared" si="39"/>
        <v>575221.64</v>
      </c>
      <c r="L150" s="2">
        <f t="shared" si="42"/>
        <v>821926.25305000006</v>
      </c>
      <c r="M150" s="2">
        <f t="shared" si="44"/>
        <v>246704.61305000004</v>
      </c>
      <c r="N150" s="18">
        <f t="shared" si="43"/>
        <v>0.42888618211581891</v>
      </c>
      <c r="O150" s="5"/>
      <c r="P150" s="6"/>
      <c r="Q150" s="58"/>
      <c r="AB150" s="177" t="s">
        <v>237</v>
      </c>
      <c r="AC150" s="177" t="str">
        <f t="shared" si="35"/>
        <v>Forsker 3</v>
      </c>
      <c r="AD150" s="14">
        <f t="shared" si="37"/>
        <v>0.4</v>
      </c>
      <c r="AE150" s="177" t="str">
        <f t="shared" si="36"/>
        <v>Tekn./Adm. 3</v>
      </c>
      <c r="AF150" s="115">
        <f t="shared" si="38"/>
        <v>0.4</v>
      </c>
    </row>
    <row r="151" spans="8:32" x14ac:dyDescent="0.25">
      <c r="H151" s="61" t="s">
        <v>223</v>
      </c>
      <c r="I151" s="288">
        <v>586469.16</v>
      </c>
      <c r="J151" s="3"/>
      <c r="K151" s="4">
        <f t="shared" ref="K151:K187" si="45">I151-400</f>
        <v>586069.16</v>
      </c>
      <c r="L151" s="2">
        <f t="shared" si="42"/>
        <v>837397.5284500001</v>
      </c>
      <c r="M151" s="2">
        <f t="shared" si="44"/>
        <v>251328.36845000007</v>
      </c>
      <c r="N151" s="18">
        <f t="shared" si="43"/>
        <v>0.42883738917434261</v>
      </c>
      <c r="O151" s="5"/>
      <c r="P151" s="6"/>
      <c r="Q151" s="58"/>
      <c r="AB151" s="177" t="s">
        <v>238</v>
      </c>
      <c r="AC151" s="177" t="str">
        <f t="shared" si="35"/>
        <v>Forsker 2</v>
      </c>
      <c r="AD151" s="14">
        <f t="shared" si="37"/>
        <v>0.4</v>
      </c>
      <c r="AE151" s="177" t="str">
        <f t="shared" si="36"/>
        <v>Tekn./Adm. 2</v>
      </c>
      <c r="AF151" s="115">
        <f t="shared" si="38"/>
        <v>0.4</v>
      </c>
    </row>
    <row r="152" spans="8:32" x14ac:dyDescent="0.25">
      <c r="H152" s="61" t="s">
        <v>224</v>
      </c>
      <c r="I152" s="288">
        <v>597015.36</v>
      </c>
      <c r="J152" s="3"/>
      <c r="K152" s="4">
        <f t="shared" si="45"/>
        <v>596615.36</v>
      </c>
      <c r="L152" s="2">
        <f t="shared" si="42"/>
        <v>852439.0462000001</v>
      </c>
      <c r="M152" s="2">
        <f t="shared" si="44"/>
        <v>255823.68620000011</v>
      </c>
      <c r="N152" s="18">
        <f t="shared" si="43"/>
        <v>0.42879165263194047</v>
      </c>
      <c r="O152" s="5"/>
      <c r="P152" s="6"/>
      <c r="Q152" s="58"/>
      <c r="AB152" s="177" t="s">
        <v>239</v>
      </c>
      <c r="AC152" s="177" t="str">
        <f t="shared" si="35"/>
        <v>Forsker 2</v>
      </c>
      <c r="AD152" s="14">
        <f t="shared" si="37"/>
        <v>0.4</v>
      </c>
      <c r="AE152" s="177" t="str">
        <f t="shared" si="36"/>
        <v>Tekn./Adm. 2</v>
      </c>
      <c r="AF152" s="115">
        <f t="shared" si="38"/>
        <v>0.4</v>
      </c>
    </row>
    <row r="153" spans="8:32" x14ac:dyDescent="0.25">
      <c r="H153" s="61" t="s">
        <v>225</v>
      </c>
      <c r="I153" s="288">
        <v>608164.19999999995</v>
      </c>
      <c r="J153" s="3"/>
      <c r="K153" s="4">
        <f t="shared" si="45"/>
        <v>607764.19999999995</v>
      </c>
      <c r="L153" s="2">
        <f t="shared" si="42"/>
        <v>868340.07925000007</v>
      </c>
      <c r="M153" s="2">
        <f t="shared" si="44"/>
        <v>260575.87925000011</v>
      </c>
      <c r="N153" s="18">
        <f t="shared" si="43"/>
        <v>0.42874502849953999</v>
      </c>
      <c r="O153" s="5"/>
      <c r="P153" s="6"/>
      <c r="Q153" s="58"/>
      <c r="AB153" s="177" t="s">
        <v>240</v>
      </c>
      <c r="AC153" s="177" t="str">
        <f t="shared" ref="AC153:AC172" si="46">AC69</f>
        <v>Forsker 2</v>
      </c>
      <c r="AD153" s="14">
        <f t="shared" si="37"/>
        <v>0.4</v>
      </c>
      <c r="AE153" s="177" t="str">
        <f t="shared" ref="AE153:AE172" si="47">AE69</f>
        <v>Tekn./Adm. 2</v>
      </c>
      <c r="AF153" s="115">
        <f t="shared" si="38"/>
        <v>0.4</v>
      </c>
    </row>
    <row r="154" spans="8:32" x14ac:dyDescent="0.25">
      <c r="H154" s="61" t="s">
        <v>226</v>
      </c>
      <c r="I154" s="288">
        <v>618609.96</v>
      </c>
      <c r="J154" s="3"/>
      <c r="K154" s="4">
        <f t="shared" si="45"/>
        <v>618209.96</v>
      </c>
      <c r="L154" s="2">
        <f t="shared" si="42"/>
        <v>883238.34445000009</v>
      </c>
      <c r="M154" s="2">
        <f t="shared" si="44"/>
        <v>265028.38445000013</v>
      </c>
      <c r="N154" s="18">
        <f t="shared" si="43"/>
        <v>0.42870287054255829</v>
      </c>
      <c r="O154" s="5"/>
      <c r="P154" s="6"/>
      <c r="Q154" s="58"/>
      <c r="AB154" s="177" t="s">
        <v>241</v>
      </c>
      <c r="AC154" s="177" t="str">
        <f t="shared" si="46"/>
        <v>Forsker 2</v>
      </c>
      <c r="AD154" s="14">
        <f t="shared" ref="AD154:AD172" si="48">VLOOKUP(AC154,$S$21:$X$27,6,FALSE)</f>
        <v>0.4</v>
      </c>
      <c r="AE154" s="177" t="str">
        <f t="shared" si="47"/>
        <v>Tekn./Adm. 2</v>
      </c>
      <c r="AF154" s="115">
        <f t="shared" ref="AF154:AF172" si="49">VLOOKUP(AE154,$S$14:$X$20,6,FALSE)</f>
        <v>0.4</v>
      </c>
    </row>
    <row r="155" spans="8:32" x14ac:dyDescent="0.25">
      <c r="H155" s="61" t="s">
        <v>227</v>
      </c>
      <c r="I155" s="288">
        <v>630461.88</v>
      </c>
      <c r="J155" s="3"/>
      <c r="K155" s="4">
        <f t="shared" si="45"/>
        <v>630061.88</v>
      </c>
      <c r="L155" s="2">
        <f t="shared" si="42"/>
        <v>900142.14535000012</v>
      </c>
      <c r="M155" s="2">
        <f t="shared" si="44"/>
        <v>270080.26535000012</v>
      </c>
      <c r="N155" s="18">
        <f t="shared" si="43"/>
        <v>0.42865673027227119</v>
      </c>
      <c r="O155" s="5"/>
      <c r="P155" s="6"/>
      <c r="Q155" s="58"/>
      <c r="AB155" s="177" t="s">
        <v>242</v>
      </c>
      <c r="AC155" s="177" t="str">
        <f t="shared" si="46"/>
        <v>Forsker 2</v>
      </c>
      <c r="AD155" s="14">
        <f t="shared" si="48"/>
        <v>0.4</v>
      </c>
      <c r="AE155" s="177" t="str">
        <f t="shared" si="47"/>
        <v>Tekn./Adm. 2</v>
      </c>
      <c r="AF155" s="115">
        <f t="shared" si="49"/>
        <v>0.4</v>
      </c>
    </row>
    <row r="156" spans="8:32" x14ac:dyDescent="0.25">
      <c r="H156" s="61" t="s">
        <v>228</v>
      </c>
      <c r="I156" s="288">
        <v>643016.88</v>
      </c>
      <c r="J156" s="3"/>
      <c r="K156" s="4">
        <f t="shared" si="45"/>
        <v>642616.88</v>
      </c>
      <c r="L156" s="2">
        <f t="shared" si="42"/>
        <v>918048.7141000001</v>
      </c>
      <c r="M156" s="2">
        <f t="shared" si="44"/>
        <v>275431.83410000009</v>
      </c>
      <c r="N156" s="18">
        <f t="shared" si="43"/>
        <v>0.42860970925631475</v>
      </c>
      <c r="O156" s="5"/>
      <c r="P156" s="6"/>
      <c r="Q156" s="58"/>
      <c r="AB156" s="177" t="s">
        <v>243</v>
      </c>
      <c r="AC156" s="177" t="str">
        <f t="shared" si="46"/>
        <v>Forsker 2</v>
      </c>
      <c r="AD156" s="14">
        <f t="shared" si="48"/>
        <v>0.4</v>
      </c>
      <c r="AE156" s="177" t="str">
        <f t="shared" si="47"/>
        <v>Tekn./Adm. 2</v>
      </c>
      <c r="AF156" s="115">
        <f t="shared" si="49"/>
        <v>0.4</v>
      </c>
    </row>
    <row r="157" spans="8:32" x14ac:dyDescent="0.25">
      <c r="H157" s="61" t="s">
        <v>229</v>
      </c>
      <c r="I157" s="288">
        <v>658283.76</v>
      </c>
      <c r="J157" s="3"/>
      <c r="K157" s="4">
        <f t="shared" si="45"/>
        <v>657883.76</v>
      </c>
      <c r="L157" s="2">
        <f t="shared" si="42"/>
        <v>939823.10170000012</v>
      </c>
      <c r="M157" s="2">
        <f t="shared" si="44"/>
        <v>281939.34170000011</v>
      </c>
      <c r="N157" s="18">
        <f t="shared" si="43"/>
        <v>0.42855494973762553</v>
      </c>
      <c r="O157" s="5"/>
      <c r="P157" s="6"/>
      <c r="Q157" s="58"/>
      <c r="AB157" s="177" t="s">
        <v>244</v>
      </c>
      <c r="AC157" s="177" t="str">
        <f t="shared" si="46"/>
        <v>Forsker 2</v>
      </c>
      <c r="AD157" s="14">
        <f t="shared" si="48"/>
        <v>0.4</v>
      </c>
      <c r="AE157" s="177" t="str">
        <f t="shared" si="47"/>
        <v>Tekn./Adm. 2</v>
      </c>
      <c r="AF157" s="115">
        <f t="shared" si="49"/>
        <v>0.4</v>
      </c>
    </row>
    <row r="158" spans="8:32" x14ac:dyDescent="0.25">
      <c r="H158" s="61" t="s">
        <v>230</v>
      </c>
      <c r="I158" s="288">
        <v>670135.68000000005</v>
      </c>
      <c r="J158" s="3"/>
      <c r="K158" s="4">
        <f t="shared" si="45"/>
        <v>669735.68000000005</v>
      </c>
      <c r="L158" s="2">
        <f t="shared" si="42"/>
        <v>956726.90260000026</v>
      </c>
      <c r="M158" s="2">
        <f t="shared" si="44"/>
        <v>286991.22260000021</v>
      </c>
      <c r="N158" s="18">
        <f t="shared" si="43"/>
        <v>0.42851416039235091</v>
      </c>
      <c r="O158" s="5"/>
      <c r="P158" s="6"/>
      <c r="Q158" s="58"/>
      <c r="AB158" s="177" t="s">
        <v>245</v>
      </c>
      <c r="AC158" s="177" t="str">
        <f t="shared" si="46"/>
        <v>Forsker 2</v>
      </c>
      <c r="AD158" s="14">
        <f t="shared" si="48"/>
        <v>0.4</v>
      </c>
      <c r="AE158" s="177" t="str">
        <f t="shared" si="47"/>
        <v>Tekn./Adm. 2</v>
      </c>
      <c r="AF158" s="115">
        <f t="shared" si="49"/>
        <v>0.4</v>
      </c>
    </row>
    <row r="159" spans="8:32" x14ac:dyDescent="0.25">
      <c r="H159" s="61" t="s">
        <v>231</v>
      </c>
      <c r="I159" s="288">
        <v>681987.6</v>
      </c>
      <c r="J159" s="3"/>
      <c r="K159" s="4">
        <f t="shared" si="45"/>
        <v>681587.6</v>
      </c>
      <c r="L159" s="2">
        <f t="shared" si="42"/>
        <v>973630.70350000018</v>
      </c>
      <c r="M159" s="2">
        <f t="shared" si="44"/>
        <v>292043.1035000002</v>
      </c>
      <c r="N159" s="18">
        <f t="shared" si="43"/>
        <v>0.42847478959417717</v>
      </c>
      <c r="O159" s="5"/>
      <c r="P159" s="6"/>
      <c r="Q159" s="58"/>
      <c r="AB159" s="177" t="s">
        <v>246</v>
      </c>
      <c r="AC159" s="177" t="str">
        <f t="shared" si="46"/>
        <v>Forsker 2</v>
      </c>
      <c r="AD159" s="14">
        <f t="shared" si="48"/>
        <v>0.4</v>
      </c>
      <c r="AE159" s="177" t="str">
        <f t="shared" si="47"/>
        <v>Tekn./Adm. 2</v>
      </c>
      <c r="AF159" s="115">
        <f t="shared" si="49"/>
        <v>0.4</v>
      </c>
    </row>
    <row r="160" spans="8:32" x14ac:dyDescent="0.25">
      <c r="H160" s="61" t="s">
        <v>232</v>
      </c>
      <c r="I160" s="288">
        <v>694442.16</v>
      </c>
      <c r="J160" s="3"/>
      <c r="K160" s="4">
        <f t="shared" si="45"/>
        <v>694042.16</v>
      </c>
      <c r="L160" s="2">
        <f t="shared" si="42"/>
        <v>991394.01970000018</v>
      </c>
      <c r="M160" s="2">
        <f t="shared" si="44"/>
        <v>297351.85970000015</v>
      </c>
      <c r="N160" s="18">
        <f t="shared" si="43"/>
        <v>0.42843486583005291</v>
      </c>
      <c r="O160" s="5"/>
      <c r="P160" s="6"/>
      <c r="Q160" s="58"/>
      <c r="AB160" s="177" t="s">
        <v>247</v>
      </c>
      <c r="AC160" s="177" t="str">
        <f t="shared" si="46"/>
        <v>Forsker 2</v>
      </c>
      <c r="AD160" s="14">
        <f t="shared" si="48"/>
        <v>0.4</v>
      </c>
      <c r="AE160" s="177" t="str">
        <f t="shared" si="47"/>
        <v>Tekn./Adm. 2</v>
      </c>
      <c r="AF160" s="115">
        <f t="shared" si="49"/>
        <v>0.4</v>
      </c>
    </row>
    <row r="161" spans="8:32" x14ac:dyDescent="0.25">
      <c r="H161" s="61" t="s">
        <v>233</v>
      </c>
      <c r="I161" s="288">
        <v>708001.56</v>
      </c>
      <c r="J161" s="3"/>
      <c r="K161" s="4">
        <f t="shared" si="45"/>
        <v>707601.56</v>
      </c>
      <c r="L161" s="2">
        <f t="shared" si="42"/>
        <v>1010733.1139500001</v>
      </c>
      <c r="M161" s="2">
        <f t="shared" si="44"/>
        <v>303131.55395000009</v>
      </c>
      <c r="N161" s="18">
        <f t="shared" si="43"/>
        <v>0.42839299838457118</v>
      </c>
      <c r="O161" s="5"/>
      <c r="P161" s="6"/>
      <c r="Q161" s="58"/>
      <c r="AB161" s="177" t="s">
        <v>248</v>
      </c>
      <c r="AC161" s="177" t="str">
        <f t="shared" si="46"/>
        <v>Forsker 1</v>
      </c>
      <c r="AD161" s="14">
        <f t="shared" si="48"/>
        <v>0.4</v>
      </c>
      <c r="AE161" s="177" t="str">
        <f t="shared" si="47"/>
        <v>Tekn./Adm. 1</v>
      </c>
      <c r="AF161" s="115">
        <f t="shared" si="49"/>
        <v>0.4</v>
      </c>
    </row>
    <row r="162" spans="8:32" x14ac:dyDescent="0.25">
      <c r="H162" s="61" t="s">
        <v>234</v>
      </c>
      <c r="I162" s="288">
        <v>726382.07999999996</v>
      </c>
      <c r="J162" s="3"/>
      <c r="K162" s="4">
        <f t="shared" si="45"/>
        <v>725982.08</v>
      </c>
      <c r="L162" s="2">
        <f t="shared" si="42"/>
        <v>1036948.3306000001</v>
      </c>
      <c r="M162" s="2">
        <f t="shared" si="44"/>
        <v>310966.25060000014</v>
      </c>
      <c r="N162" s="18">
        <f t="shared" si="43"/>
        <v>0.42833874163946328</v>
      </c>
      <c r="O162" s="5"/>
      <c r="P162" s="6"/>
      <c r="Q162" s="58"/>
      <c r="AB162" s="177" t="s">
        <v>249</v>
      </c>
      <c r="AC162" s="177" t="str">
        <f t="shared" si="46"/>
        <v>Forsker 1</v>
      </c>
      <c r="AD162" s="14">
        <f t="shared" si="48"/>
        <v>0.4</v>
      </c>
      <c r="AE162" s="177" t="str">
        <f t="shared" si="47"/>
        <v>Tekn./Adm. 1</v>
      </c>
      <c r="AF162" s="115">
        <f t="shared" si="49"/>
        <v>0.4</v>
      </c>
    </row>
    <row r="163" spans="8:32" x14ac:dyDescent="0.25">
      <c r="H163" s="61" t="s">
        <v>235</v>
      </c>
      <c r="I163" s="288">
        <v>744561.72</v>
      </c>
      <c r="J163" s="3"/>
      <c r="K163" s="4">
        <f t="shared" si="45"/>
        <v>744161.72</v>
      </c>
      <c r="L163" s="2">
        <f t="shared" si="42"/>
        <v>1062877.0421500001</v>
      </c>
      <c r="M163" s="2">
        <f t="shared" si="44"/>
        <v>318715.32215000014</v>
      </c>
      <c r="N163" s="18">
        <f t="shared" si="43"/>
        <v>0.42828771432908447</v>
      </c>
      <c r="O163" s="5"/>
      <c r="P163" s="6"/>
      <c r="Q163" s="58"/>
      <c r="AB163" s="177" t="s">
        <v>250</v>
      </c>
      <c r="AC163" s="177" t="str">
        <f t="shared" si="46"/>
        <v>Forsker 1</v>
      </c>
      <c r="AD163" s="14">
        <f t="shared" si="48"/>
        <v>0.4</v>
      </c>
      <c r="AE163" s="177" t="str">
        <f t="shared" si="47"/>
        <v>Tekn./Adm. 1</v>
      </c>
      <c r="AF163" s="115">
        <f t="shared" si="49"/>
        <v>0.4</v>
      </c>
    </row>
    <row r="164" spans="8:32" x14ac:dyDescent="0.25">
      <c r="H164" s="61" t="s">
        <v>236</v>
      </c>
      <c r="I164" s="288">
        <v>768466.44</v>
      </c>
      <c r="J164" s="3"/>
      <c r="K164" s="4">
        <f t="shared" si="45"/>
        <v>768066.44</v>
      </c>
      <c r="L164" s="2">
        <f t="shared" si="42"/>
        <v>1096971.1490500001</v>
      </c>
      <c r="M164" s="2">
        <f t="shared" si="44"/>
        <v>328904.70905000018</v>
      </c>
      <c r="N164" s="18">
        <f t="shared" si="43"/>
        <v>0.42822429404674967</v>
      </c>
      <c r="O164" s="5"/>
      <c r="P164" s="6"/>
      <c r="Q164" s="58"/>
      <c r="AB164" s="177" t="s">
        <v>251</v>
      </c>
      <c r="AC164" s="177" t="str">
        <f t="shared" si="46"/>
        <v>Forsker 1</v>
      </c>
      <c r="AD164" s="14">
        <f t="shared" si="48"/>
        <v>0.4</v>
      </c>
      <c r="AE164" s="177" t="str">
        <f t="shared" si="47"/>
        <v>Tekn./Adm. 1</v>
      </c>
      <c r="AF164" s="115">
        <f t="shared" si="49"/>
        <v>0.4</v>
      </c>
    </row>
    <row r="165" spans="8:32" x14ac:dyDescent="0.25">
      <c r="H165" s="61" t="s">
        <v>237</v>
      </c>
      <c r="I165" s="288">
        <v>792672.48</v>
      </c>
      <c r="J165" s="3"/>
      <c r="K165" s="4">
        <f t="shared" si="45"/>
        <v>792272.48</v>
      </c>
      <c r="L165" s="2">
        <f t="shared" si="42"/>
        <v>1131495.0136000002</v>
      </c>
      <c r="M165" s="2">
        <f t="shared" si="44"/>
        <v>339222.5336000002</v>
      </c>
      <c r="N165" s="18">
        <f t="shared" si="43"/>
        <v>0.42816397409133811</v>
      </c>
      <c r="O165" s="5"/>
      <c r="P165" s="6"/>
      <c r="Q165" s="58"/>
      <c r="AB165" s="177" t="s">
        <v>252</v>
      </c>
      <c r="AC165" s="177" t="str">
        <f t="shared" si="46"/>
        <v>Forsker 1</v>
      </c>
      <c r="AD165" s="14">
        <f t="shared" si="48"/>
        <v>0.4</v>
      </c>
      <c r="AE165" s="177" t="str">
        <f t="shared" si="47"/>
        <v>Tekn./Adm. 1</v>
      </c>
      <c r="AF165" s="115">
        <f t="shared" si="49"/>
        <v>0.4</v>
      </c>
    </row>
    <row r="166" spans="8:32" x14ac:dyDescent="0.25">
      <c r="H166" s="61" t="s">
        <v>238</v>
      </c>
      <c r="I166" s="288">
        <v>816978.96</v>
      </c>
      <c r="J166" s="3"/>
      <c r="K166" s="4">
        <f t="shared" si="45"/>
        <v>816578.96</v>
      </c>
      <c r="L166" s="2">
        <f t="shared" si="42"/>
        <v>1166162.1307000001</v>
      </c>
      <c r="M166" s="2">
        <f t="shared" si="44"/>
        <v>349583.17070000013</v>
      </c>
      <c r="N166" s="18">
        <f t="shared" si="43"/>
        <v>0.42810700229160958</v>
      </c>
      <c r="O166" s="5"/>
      <c r="P166" s="6"/>
      <c r="Q166" s="58"/>
      <c r="AB166" s="177" t="s">
        <v>253</v>
      </c>
      <c r="AC166" s="177" t="str">
        <f t="shared" si="46"/>
        <v>Forsker 1</v>
      </c>
      <c r="AD166" s="14">
        <f t="shared" si="48"/>
        <v>0.4</v>
      </c>
      <c r="AE166" s="177" t="str">
        <f t="shared" si="47"/>
        <v>Tekn./Adm. 1</v>
      </c>
      <c r="AF166" s="115">
        <f t="shared" si="49"/>
        <v>0.4</v>
      </c>
    </row>
    <row r="167" spans="8:32" x14ac:dyDescent="0.25">
      <c r="H167" s="61" t="s">
        <v>239</v>
      </c>
      <c r="I167" s="288">
        <v>840883.68</v>
      </c>
      <c r="J167" s="3"/>
      <c r="K167" s="4">
        <f t="shared" si="45"/>
        <v>840483.68</v>
      </c>
      <c r="L167" s="2">
        <f t="shared" si="42"/>
        <v>1200256.2376000001</v>
      </c>
      <c r="M167" s="2">
        <f t="shared" si="44"/>
        <v>359772.55760000006</v>
      </c>
      <c r="N167" s="18">
        <f t="shared" si="43"/>
        <v>0.42805418613244228</v>
      </c>
      <c r="O167" s="5"/>
      <c r="P167" s="6"/>
      <c r="Q167" s="58"/>
      <c r="AB167" s="177" t="s">
        <v>254</v>
      </c>
      <c r="AC167" s="177" t="str">
        <f t="shared" si="46"/>
        <v>Forsker 1</v>
      </c>
      <c r="AD167" s="14">
        <f t="shared" si="48"/>
        <v>0.4</v>
      </c>
      <c r="AE167" s="177" t="str">
        <f t="shared" si="47"/>
        <v>Tekn./Adm. 1</v>
      </c>
      <c r="AF167" s="115">
        <f t="shared" si="49"/>
        <v>0.4</v>
      </c>
    </row>
    <row r="168" spans="8:32" x14ac:dyDescent="0.25">
      <c r="H168" s="61" t="s">
        <v>240</v>
      </c>
      <c r="I168" s="288">
        <v>864085.32</v>
      </c>
      <c r="J168" s="3"/>
      <c r="K168" s="4">
        <f t="shared" si="45"/>
        <v>863685.32</v>
      </c>
      <c r="L168" s="2">
        <f t="shared" si="42"/>
        <v>1233347.5766499999</v>
      </c>
      <c r="M168" s="2">
        <f t="shared" si="44"/>
        <v>369662.25665</v>
      </c>
      <c r="N168" s="18">
        <f t="shared" si="43"/>
        <v>0.42800571931684567</v>
      </c>
      <c r="O168" s="5"/>
      <c r="P168" s="6"/>
      <c r="Q168" s="58"/>
      <c r="AB168" s="177" t="s">
        <v>255</v>
      </c>
      <c r="AC168" s="177" t="str">
        <f t="shared" si="46"/>
        <v>Forsker 1</v>
      </c>
      <c r="AD168" s="14">
        <f t="shared" si="48"/>
        <v>0.4</v>
      </c>
      <c r="AE168" s="177" t="str">
        <f t="shared" si="47"/>
        <v>Tekn./Adm. 1</v>
      </c>
      <c r="AF168" s="115">
        <f t="shared" si="49"/>
        <v>0.4</v>
      </c>
    </row>
    <row r="169" spans="8:32" x14ac:dyDescent="0.25">
      <c r="H169" s="61" t="s">
        <v>241</v>
      </c>
      <c r="I169" s="288">
        <v>886985.64</v>
      </c>
      <c r="J169" s="3"/>
      <c r="K169" s="4">
        <f t="shared" si="45"/>
        <v>886585.64</v>
      </c>
      <c r="L169" s="2">
        <f t="shared" si="42"/>
        <v>1266009.15805</v>
      </c>
      <c r="M169" s="2">
        <f t="shared" si="44"/>
        <v>379423.51804999996</v>
      </c>
      <c r="N169" s="18">
        <f t="shared" si="43"/>
        <v>0.42796036945737126</v>
      </c>
      <c r="O169" s="5"/>
      <c r="P169" s="6"/>
      <c r="Q169" s="58"/>
      <c r="AB169" s="177" t="s">
        <v>256</v>
      </c>
      <c r="AC169" s="177" t="str">
        <f t="shared" si="46"/>
        <v>Forsker 1</v>
      </c>
      <c r="AD169" s="14">
        <f t="shared" si="48"/>
        <v>0.4</v>
      </c>
      <c r="AE169" s="177" t="str">
        <f t="shared" si="47"/>
        <v>Tekn./Adm. 1</v>
      </c>
      <c r="AF169" s="115">
        <f t="shared" si="49"/>
        <v>0.4</v>
      </c>
    </row>
    <row r="170" spans="8:32" x14ac:dyDescent="0.25">
      <c r="H170" s="61" t="s">
        <v>242</v>
      </c>
      <c r="I170" s="288">
        <v>909986.4</v>
      </c>
      <c r="J170" s="3"/>
      <c r="K170" s="4">
        <f t="shared" si="45"/>
        <v>909586.4</v>
      </c>
      <c r="L170" s="2">
        <f t="shared" ref="L170:L187" si="50">((K170*1.12+K170*0.13+1329)*1.141)</f>
        <v>1298813.9920000003</v>
      </c>
      <c r="M170" s="2">
        <f t="shared" si="44"/>
        <v>389227.5920000003</v>
      </c>
      <c r="N170" s="18">
        <f t="shared" si="43"/>
        <v>0.42791711925332249</v>
      </c>
      <c r="O170" s="5"/>
      <c r="P170" s="6"/>
      <c r="Q170" s="58"/>
      <c r="AB170" s="177" t="s">
        <v>257</v>
      </c>
      <c r="AC170" s="177" t="str">
        <f t="shared" si="46"/>
        <v>Forsker 1</v>
      </c>
      <c r="AD170" s="14">
        <f t="shared" si="48"/>
        <v>0.4</v>
      </c>
      <c r="AE170" s="177" t="str">
        <f t="shared" si="47"/>
        <v>Tekn./Adm. 1</v>
      </c>
      <c r="AF170" s="115">
        <f t="shared" si="49"/>
        <v>0.4</v>
      </c>
    </row>
    <row r="171" spans="8:32" x14ac:dyDescent="0.25">
      <c r="H171" s="61" t="s">
        <v>243</v>
      </c>
      <c r="I171" s="288">
        <v>938913.12</v>
      </c>
      <c r="J171" s="3"/>
      <c r="K171" s="4">
        <f t="shared" si="45"/>
        <v>938513.12</v>
      </c>
      <c r="L171" s="2">
        <f t="shared" si="50"/>
        <v>1340070.7264000003</v>
      </c>
      <c r="M171" s="2">
        <f t="shared" si="44"/>
        <v>401557.60640000028</v>
      </c>
      <c r="N171" s="18">
        <f t="shared" si="43"/>
        <v>0.42786573553708046</v>
      </c>
      <c r="O171" s="5"/>
      <c r="P171" s="6"/>
      <c r="Q171" s="58"/>
      <c r="AB171" s="177" t="s">
        <v>258</v>
      </c>
      <c r="AC171" s="177" t="str">
        <f t="shared" si="46"/>
        <v>Forsker 1</v>
      </c>
      <c r="AD171" s="14">
        <f t="shared" si="48"/>
        <v>0.4</v>
      </c>
      <c r="AE171" s="177" t="str">
        <f t="shared" si="47"/>
        <v>Tekn./Adm. 1</v>
      </c>
      <c r="AF171" s="115">
        <f t="shared" si="49"/>
        <v>0.4</v>
      </c>
    </row>
    <row r="172" spans="8:32" x14ac:dyDescent="0.25">
      <c r="H172" s="61" t="s">
        <v>244</v>
      </c>
      <c r="I172" s="288">
        <v>967438.08</v>
      </c>
      <c r="J172" s="3"/>
      <c r="K172" s="4">
        <f t="shared" si="45"/>
        <v>967038.08</v>
      </c>
      <c r="L172" s="2">
        <f t="shared" si="50"/>
        <v>1380754.4506000001</v>
      </c>
      <c r="M172" s="2">
        <f t="shared" si="44"/>
        <v>413716.37060000014</v>
      </c>
      <c r="N172" s="18">
        <f t="shared" si="43"/>
        <v>0.42781807578870129</v>
      </c>
      <c r="O172" s="5"/>
      <c r="P172" s="6"/>
      <c r="Q172" s="58"/>
      <c r="AB172" s="177" t="s">
        <v>277</v>
      </c>
      <c r="AC172" s="177" t="str">
        <f t="shared" si="46"/>
        <v>Forsker 1</v>
      </c>
      <c r="AD172" s="14">
        <f t="shared" si="48"/>
        <v>0.4</v>
      </c>
      <c r="AE172" s="177" t="str">
        <f t="shared" si="47"/>
        <v>Tekn./Adm. 1</v>
      </c>
      <c r="AF172" s="115">
        <f t="shared" si="49"/>
        <v>0.4</v>
      </c>
    </row>
    <row r="173" spans="8:32" x14ac:dyDescent="0.25">
      <c r="H173" s="61" t="s">
        <v>245</v>
      </c>
      <c r="I173" s="288">
        <v>996565.68</v>
      </c>
      <c r="J173" s="3"/>
      <c r="K173" s="4">
        <f t="shared" si="45"/>
        <v>996165.68</v>
      </c>
      <c r="L173" s="2">
        <f t="shared" si="50"/>
        <v>1422297.6901000002</v>
      </c>
      <c r="M173" s="2">
        <f t="shared" si="44"/>
        <v>426132.01010000019</v>
      </c>
      <c r="N173" s="18">
        <f t="shared" si="43"/>
        <v>0.42777222570044793</v>
      </c>
      <c r="O173" s="5"/>
      <c r="P173" s="6"/>
      <c r="Q173" s="58"/>
    </row>
    <row r="174" spans="8:32" x14ac:dyDescent="0.25">
      <c r="H174" s="61" t="s">
        <v>246</v>
      </c>
      <c r="I174" s="288">
        <v>1019365.56</v>
      </c>
      <c r="J174" s="3"/>
      <c r="K174" s="4">
        <f t="shared" si="45"/>
        <v>1018965.56</v>
      </c>
      <c r="L174" s="2">
        <f t="shared" si="50"/>
        <v>1454816.0189500002</v>
      </c>
      <c r="M174" s="2">
        <f t="shared" si="44"/>
        <v>435850.45895000012</v>
      </c>
      <c r="N174" s="18">
        <f t="shared" si="43"/>
        <v>0.42773816511521751</v>
      </c>
      <c r="O174" s="5"/>
      <c r="P174" s="6"/>
      <c r="Q174" s="58"/>
    </row>
    <row r="175" spans="8:32" x14ac:dyDescent="0.25">
      <c r="H175" s="61" t="s">
        <v>247</v>
      </c>
      <c r="I175" s="288">
        <v>1042366.32</v>
      </c>
      <c r="J175" s="3"/>
      <c r="K175" s="4">
        <f t="shared" si="45"/>
        <v>1041966.32</v>
      </c>
      <c r="L175" s="2">
        <f t="shared" si="50"/>
        <v>1487620.8528999998</v>
      </c>
      <c r="M175" s="2">
        <f t="shared" si="44"/>
        <v>445654.53289999987</v>
      </c>
      <c r="N175" s="18">
        <f t="shared" si="43"/>
        <v>0.42770531479366808</v>
      </c>
      <c r="O175" s="5"/>
      <c r="P175" s="6"/>
      <c r="Q175" s="58"/>
    </row>
    <row r="176" spans="8:32" x14ac:dyDescent="0.25">
      <c r="H176" s="61" t="s">
        <v>248</v>
      </c>
      <c r="I176" s="288">
        <v>1065367.08</v>
      </c>
      <c r="J176" s="3"/>
      <c r="K176" s="4">
        <f t="shared" si="45"/>
        <v>1064967.08</v>
      </c>
      <c r="L176" s="2">
        <f t="shared" si="50"/>
        <v>1520425.6868500002</v>
      </c>
      <c r="M176" s="2">
        <f t="shared" si="44"/>
        <v>455458.6068500001</v>
      </c>
      <c r="N176" s="18">
        <f t="shared" si="43"/>
        <v>0.42767388344999363</v>
      </c>
      <c r="O176" s="5"/>
      <c r="P176" s="6"/>
      <c r="Q176" s="58"/>
    </row>
    <row r="177" spans="8:17" x14ac:dyDescent="0.25">
      <c r="H177" s="61" t="s">
        <v>249</v>
      </c>
      <c r="I177" s="288">
        <v>1088669.1599999999</v>
      </c>
      <c r="J177" s="3"/>
      <c r="K177" s="4">
        <f t="shared" si="45"/>
        <v>1088269.1599999999</v>
      </c>
      <c r="L177" s="2">
        <f t="shared" si="50"/>
        <v>1553660.2784499999</v>
      </c>
      <c r="M177" s="2">
        <f t="shared" si="44"/>
        <v>465391.11844999995</v>
      </c>
      <c r="N177" s="18">
        <f t="shared" si="43"/>
        <v>0.42764339517808259</v>
      </c>
      <c r="O177" s="5"/>
      <c r="P177" s="6"/>
      <c r="Q177" s="58"/>
    </row>
    <row r="178" spans="8:17" x14ac:dyDescent="0.25">
      <c r="H178" s="61" t="s">
        <v>250</v>
      </c>
      <c r="I178" s="288">
        <v>1111469.04</v>
      </c>
      <c r="J178" s="3"/>
      <c r="K178" s="4">
        <f t="shared" si="45"/>
        <v>1111069.04</v>
      </c>
      <c r="L178" s="2">
        <f t="shared" si="50"/>
        <v>1586178.6073</v>
      </c>
      <c r="M178" s="2">
        <f t="shared" si="44"/>
        <v>475109.5673</v>
      </c>
      <c r="N178" s="18">
        <f t="shared" si="43"/>
        <v>0.42761480177685446</v>
      </c>
      <c r="O178" s="5"/>
      <c r="P178" s="6"/>
      <c r="Q178" s="58"/>
    </row>
    <row r="179" spans="8:17" x14ac:dyDescent="0.25">
      <c r="H179" s="61" t="s">
        <v>251</v>
      </c>
      <c r="I179" s="288">
        <v>1134570.24</v>
      </c>
      <c r="J179" s="3"/>
      <c r="K179" s="4">
        <f t="shared" si="45"/>
        <v>1134170.24</v>
      </c>
      <c r="L179" s="2">
        <f t="shared" si="50"/>
        <v>1619126.6938</v>
      </c>
      <c r="M179" s="2">
        <f t="shared" si="44"/>
        <v>484956.45380000002</v>
      </c>
      <c r="N179" s="18">
        <f t="shared" si="43"/>
        <v>0.42758700298819341</v>
      </c>
      <c r="O179" s="5"/>
      <c r="P179" s="6"/>
      <c r="Q179" s="58"/>
    </row>
    <row r="180" spans="8:17" x14ac:dyDescent="0.25">
      <c r="H180" s="61" t="s">
        <v>252</v>
      </c>
      <c r="I180" s="288">
        <v>1157571</v>
      </c>
      <c r="J180" s="3"/>
      <c r="K180" s="4">
        <f t="shared" si="45"/>
        <v>1157171</v>
      </c>
      <c r="L180" s="2">
        <f t="shared" si="50"/>
        <v>1651931.5277500001</v>
      </c>
      <c r="M180" s="2">
        <f t="shared" si="44"/>
        <v>494760.52775000012</v>
      </c>
      <c r="N180" s="18">
        <f t="shared" si="43"/>
        <v>0.42756042775873238</v>
      </c>
      <c r="O180" s="5"/>
      <c r="P180" s="6"/>
      <c r="Q180" s="58"/>
    </row>
    <row r="181" spans="8:17" x14ac:dyDescent="0.25">
      <c r="H181" s="61" t="s">
        <v>253</v>
      </c>
      <c r="I181" s="288">
        <v>1180772.6399999999</v>
      </c>
      <c r="J181" s="3"/>
      <c r="K181" s="4">
        <f t="shared" si="45"/>
        <v>1180372.6399999999</v>
      </c>
      <c r="L181" s="2">
        <f t="shared" si="50"/>
        <v>1685022.8667999997</v>
      </c>
      <c r="M181" s="2">
        <f t="shared" si="44"/>
        <v>504650.22679999983</v>
      </c>
      <c r="N181" s="18">
        <f t="shared" si="43"/>
        <v>0.42753466972938298</v>
      </c>
      <c r="O181" s="5"/>
      <c r="P181" s="6"/>
      <c r="Q181" s="58"/>
    </row>
    <row r="182" spans="8:17" x14ac:dyDescent="0.25">
      <c r="H182" s="61" t="s">
        <v>254</v>
      </c>
      <c r="I182" s="288">
        <v>1203271.2</v>
      </c>
      <c r="J182" s="3"/>
      <c r="K182" s="4">
        <f t="shared" si="45"/>
        <v>1202871.2</v>
      </c>
      <c r="L182" s="2">
        <f t="shared" si="50"/>
        <v>1717111.4380000003</v>
      </c>
      <c r="M182" s="2">
        <f t="shared" si="44"/>
        <v>514240.23800000036</v>
      </c>
      <c r="N182" s="18">
        <f t="shared" si="43"/>
        <v>0.42751064120580856</v>
      </c>
      <c r="O182" s="5"/>
      <c r="P182" s="6"/>
      <c r="Q182" s="58"/>
    </row>
    <row r="183" spans="8:17" x14ac:dyDescent="0.25">
      <c r="H183" s="61" t="s">
        <v>255</v>
      </c>
      <c r="I183" s="288">
        <v>1225870.2</v>
      </c>
      <c r="J183" s="3"/>
      <c r="K183" s="4">
        <f t="shared" si="45"/>
        <v>1225470.2</v>
      </c>
      <c r="L183" s="2">
        <f t="shared" si="50"/>
        <v>1749343.2617500001</v>
      </c>
      <c r="M183" s="2">
        <f t="shared" si="44"/>
        <v>523873.06175000011</v>
      </c>
      <c r="N183" s="18">
        <f t="shared" si="43"/>
        <v>0.42748739361430421</v>
      </c>
      <c r="O183" s="5"/>
      <c r="P183" s="6"/>
      <c r="Q183" s="58"/>
    </row>
    <row r="184" spans="8:17" x14ac:dyDescent="0.25">
      <c r="H184" s="61" t="s">
        <v>256</v>
      </c>
      <c r="I184" s="288">
        <v>1248469.2</v>
      </c>
      <c r="J184" s="3"/>
      <c r="K184" s="4">
        <f t="shared" si="45"/>
        <v>1248069.2</v>
      </c>
      <c r="L184" s="2">
        <f t="shared" si="50"/>
        <v>1781575.0855000003</v>
      </c>
      <c r="M184" s="2">
        <f t="shared" si="44"/>
        <v>533505.88550000032</v>
      </c>
      <c r="N184" s="18">
        <f t="shared" si="43"/>
        <v>0.42746498791893939</v>
      </c>
      <c r="O184" s="5"/>
      <c r="P184" s="6"/>
      <c r="Q184" s="58"/>
    </row>
    <row r="185" spans="8:17" x14ac:dyDescent="0.25">
      <c r="H185" s="61" t="s">
        <v>257</v>
      </c>
      <c r="I185" s="288">
        <v>1270063.8</v>
      </c>
      <c r="J185" s="3"/>
      <c r="K185" s="4">
        <f t="shared" si="45"/>
        <v>1269663.8</v>
      </c>
      <c r="L185" s="2">
        <f t="shared" si="50"/>
        <v>1812374.3837500003</v>
      </c>
      <c r="M185" s="2">
        <f t="shared" si="44"/>
        <v>542710.58375000022</v>
      </c>
      <c r="N185" s="18">
        <f t="shared" si="43"/>
        <v>0.4274443232531322</v>
      </c>
      <c r="O185" s="5"/>
      <c r="P185" s="6"/>
      <c r="Q185" s="58"/>
    </row>
    <row r="186" spans="8:17" x14ac:dyDescent="0.25">
      <c r="H186" s="61" t="s">
        <v>258</v>
      </c>
      <c r="I186" s="288">
        <v>1291557.96</v>
      </c>
      <c r="J186" s="3"/>
      <c r="K186" s="4">
        <f t="shared" si="45"/>
        <v>1291157.96</v>
      </c>
      <c r="L186" s="2">
        <f t="shared" si="50"/>
        <v>1843030.4294500002</v>
      </c>
      <c r="M186" s="2">
        <f t="shared" si="44"/>
        <v>551872.46945000021</v>
      </c>
      <c r="N186" s="18">
        <f t="shared" si="43"/>
        <v>0.42742444111950501</v>
      </c>
      <c r="O186" s="5"/>
      <c r="P186" s="6"/>
      <c r="Q186" s="58"/>
    </row>
    <row r="187" spans="8:17" x14ac:dyDescent="0.25">
      <c r="H187" s="61" t="s">
        <v>277</v>
      </c>
      <c r="I187" s="288">
        <v>1313152.56</v>
      </c>
      <c r="K187" s="4">
        <f t="shared" si="45"/>
        <v>1312752.56</v>
      </c>
      <c r="L187" s="2">
        <f t="shared" si="50"/>
        <v>1873829.7277000002</v>
      </c>
      <c r="M187" s="2">
        <f t="shared" si="44"/>
        <v>561077.16770000011</v>
      </c>
      <c r="N187" s="18">
        <f t="shared" si="43"/>
        <v>0.42740512172377715</v>
      </c>
    </row>
  </sheetData>
  <sortState xmlns:xlrd2="http://schemas.microsoft.com/office/spreadsheetml/2017/richdata2" ref="A2:F82">
    <sortCondition ref="A2:A82"/>
  </sortState>
  <mergeCells count="10">
    <mergeCell ref="BC2:BD2"/>
    <mergeCell ref="AP2:AR2"/>
    <mergeCell ref="AT2:AV2"/>
    <mergeCell ref="T3:V3"/>
    <mergeCell ref="W3:Y3"/>
    <mergeCell ref="X36:Z37"/>
    <mergeCell ref="H1:L1"/>
    <mergeCell ref="AC3:AD3"/>
    <mergeCell ref="AE3:AF3"/>
    <mergeCell ref="AB2:AF2"/>
  </mergeCell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14</vt:i4>
      </vt:variant>
    </vt:vector>
  </HeadingPairs>
  <TitlesOfParts>
    <vt:vector size="19" baseType="lpstr">
      <vt:lpstr>Veiledning</vt:lpstr>
      <vt:lpstr>1.Budsjettinput</vt:lpstr>
      <vt:lpstr>2. Oppsummering Budsjett</vt:lpstr>
      <vt:lpstr>3. Samspill EVU - RD</vt:lpstr>
      <vt:lpstr>Oppslag</vt:lpstr>
      <vt:lpstr>Aktivitet</vt:lpstr>
      <vt:lpstr>Budsjettenhet</vt:lpstr>
      <vt:lpstr>Drift</vt:lpstr>
      <vt:lpstr>Driftskategori</vt:lpstr>
      <vt:lpstr>Fast_ansatt?</vt:lpstr>
      <vt:lpstr>Fin.kat</vt:lpstr>
      <vt:lpstr>IK_SP</vt:lpstr>
      <vt:lpstr>IK_UT</vt:lpstr>
      <vt:lpstr>'3. Samspill EVU - RD'!Print_Area</vt:lpstr>
      <vt:lpstr>Priskategori</vt:lpstr>
      <vt:lpstr>Still</vt:lpstr>
      <vt:lpstr>Stilling</vt:lpstr>
      <vt:lpstr>Stillingstittel</vt:lpstr>
      <vt:lpstr>Type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2020-12-08T07:29:24Z</dcterms:modified>
</cp:coreProperties>
</file>